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MReed\Desktop\INFO Wind Energy Consultation\"/>
    </mc:Choice>
  </mc:AlternateContent>
  <xr:revisionPtr revIDLastSave="0" documentId="13_ncr:1_{3847F9F6-61E4-4607-B5F4-233B43FE67A6}" xr6:coauthVersionLast="46" xr6:coauthVersionMax="46" xr10:uidLastSave="{00000000-0000-0000-0000-000000000000}"/>
  <bookViews>
    <workbookView xWindow="-108" yWindow="-108" windowWidth="23256" windowHeight="12576" tabRatio="763" xr2:uid="{00000000-000D-0000-FFFF-FFFF00000000}"/>
  </bookViews>
  <sheets>
    <sheet name="Instructions" sheetId="12" r:id="rId1"/>
    <sheet name="Conceptual Model" sheetId="11" r:id="rId2"/>
    <sheet name="Mit-WinHabPrt" sheetId="9" r:id="rId3"/>
    <sheet name="Mit-SumHabPrt" sheetId="3" r:id="rId4"/>
    <sheet name="Mit-SumHabRst" sheetId="10" r:id="rId5"/>
    <sheet name="Impacts" sheetId="15" r:id="rId6"/>
    <sheet name="Services" sheetId="1" r:id="rId7"/>
    <sheet name="Parameter Sets" sheetId="2" r:id="rId8"/>
  </sheets>
  <externalReferences>
    <externalReference r:id="rId9"/>
    <externalReference r:id="rId10"/>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AnalysisYr">[1]Summary!$D$5</definedName>
    <definedName name="BaseYr">[1]Summary!$D$8</definedName>
    <definedName name="BrAnnSurvival">Impacts!$C$17</definedName>
    <definedName name="cavelookup">'Mit-WinHabPrt'!$B$46:$C$49</definedName>
    <definedName name="DiscFactor">[1]Summary!$D$9</definedName>
    <definedName name="endyr">Impacts!$D$6</definedName>
    <definedName name="existing">'Mit-SumHabPrt'!#REF!</definedName>
    <definedName name="fbreedrate">Impacts!$C$11</definedName>
    <definedName name="firstgen">'Parameter Sets'!$C$30</definedName>
    <definedName name="firstgenfull">'Parameter Sets'!$K$8</definedName>
    <definedName name="FirstYrSurvival">Impacts!$C$15</definedName>
    <definedName name="incidentyr">Impacts!$C$6</definedName>
    <definedName name="inflList" hidden="1">"00000000000000000000000000000000000000000000000000000000000000000000000000000000000000000000000000000000000000000000000000000000000000000000000000000000000000000000000000000000000000000000000000000000"</definedName>
    <definedName name="injpop">Impacts!$C$7</definedName>
    <definedName name="jfbreedrate">Impacts!$C$13</definedName>
    <definedName name="JuvenileSurvival">Impacts!$C$16</definedName>
    <definedName name="newpct">'Mit-SumHabPrt'!#REF!</definedName>
    <definedName name="Pal_Workbook_GUID" hidden="1">"Y29Y5J3AEZ334M5M27U95QMF"</definedName>
    <definedName name="Projyr">[1]Summary!$D$6</definedName>
    <definedName name="projyrs">Impacts!$C$8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econdgen">'Parameter Sets'!$C$31</definedName>
    <definedName name="secondgenfull">'Parameter Sets'!$K$10</definedName>
    <definedName name="xcottonage">'Mit-SumHabRst'!#REF!</definedName>
    <definedName name="xcottonp">'Mit-SumHabRst'!#REF!</definedName>
    <definedName name="xhardage">'Mit-SumHabRst'!$E$22</definedName>
    <definedName name="xhardp">'Mit-SumHabRst'!$D$22</definedName>
    <definedName name="xsoftage">'Mit-SumHabRst'!$E$21</definedName>
    <definedName name="xsoftp">'Mit-SumHabRst'!$D$21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3" l="1"/>
  <c r="D10" i="9" l="1"/>
  <c r="D18" i="3" l="1"/>
  <c r="W36" i="10" l="1"/>
  <c r="X37" i="10" l="1"/>
  <c r="Y37" i="10" s="1"/>
  <c r="Y36" i="10"/>
  <c r="W37" i="10"/>
  <c r="W38" i="10" s="1"/>
  <c r="W39" i="10" s="1"/>
  <c r="W40" i="10" s="1"/>
  <c r="W41" i="10" s="1"/>
  <c r="W42" i="10" s="1"/>
  <c r="W43" i="10" s="1"/>
  <c r="W44" i="10" s="1"/>
  <c r="W45" i="10" s="1"/>
  <c r="W46" i="10" s="1"/>
  <c r="W47" i="10" s="1"/>
  <c r="W48" i="10" s="1"/>
  <c r="W49" i="10" s="1"/>
  <c r="W50" i="10" s="1"/>
  <c r="W51" i="10" s="1"/>
  <c r="W52" i="10" s="1"/>
  <c r="W53" i="10" s="1"/>
  <c r="W54" i="10" s="1"/>
  <c r="W55" i="10" s="1"/>
  <c r="W56" i="10" s="1"/>
  <c r="W57" i="10" s="1"/>
  <c r="W58" i="10" s="1"/>
  <c r="W59" i="10" s="1"/>
  <c r="W60" i="10" s="1"/>
  <c r="W61" i="10" s="1"/>
  <c r="W62" i="10" s="1"/>
  <c r="W63" i="10" s="1"/>
  <c r="W64" i="10" s="1"/>
  <c r="W65" i="10" s="1"/>
  <c r="W66" i="10" s="1"/>
  <c r="W67" i="10" s="1"/>
  <c r="W68" i="10" s="1"/>
  <c r="W69" i="10" s="1"/>
  <c r="W70" i="10" s="1"/>
  <c r="W71" i="10" s="1"/>
  <c r="W72" i="10" s="1"/>
  <c r="W73" i="10" s="1"/>
  <c r="W74" i="10" s="1"/>
  <c r="W75" i="10" s="1"/>
  <c r="W76" i="10" s="1"/>
  <c r="W77" i="10" s="1"/>
  <c r="W78" i="10" s="1"/>
  <c r="W79" i="10" s="1"/>
  <c r="W80" i="10" s="1"/>
  <c r="W81" i="10" s="1"/>
  <c r="W82" i="10" s="1"/>
  <c r="W83" i="10" s="1"/>
  <c r="W84" i="10" s="1"/>
  <c r="W85" i="10" s="1"/>
  <c r="W86" i="10" s="1"/>
  <c r="D16" i="10"/>
  <c r="D15" i="10"/>
  <c r="D14" i="10"/>
  <c r="D13" i="10"/>
  <c r="D11" i="10"/>
  <c r="D10" i="10" s="1"/>
  <c r="D9" i="10"/>
  <c r="D8" i="10"/>
  <c r="D6" i="10"/>
  <c r="D17" i="3"/>
  <c r="D16" i="3"/>
  <c r="D15" i="3"/>
  <c r="D14" i="3"/>
  <c r="D13" i="3" s="1"/>
  <c r="D12" i="3"/>
  <c r="D11" i="3"/>
  <c r="D10" i="3"/>
  <c r="D9" i="3"/>
  <c r="D17" i="9"/>
  <c r="D16" i="9"/>
  <c r="D15" i="9"/>
  <c r="D18" i="9" s="1"/>
  <c r="D14" i="9"/>
  <c r="D11" i="9"/>
  <c r="D8" i="9"/>
  <c r="F19" i="3" l="1"/>
  <c r="D9" i="9"/>
  <c r="D12" i="10"/>
  <c r="D17" i="10" s="1"/>
  <c r="C17" i="10" s="1"/>
  <c r="D13" i="9"/>
  <c r="D12" i="9" s="1"/>
  <c r="W87" i="10"/>
  <c r="W88" i="10" s="1"/>
  <c r="W89" i="10" s="1"/>
  <c r="W90" i="10" s="1"/>
  <c r="W91" i="10" s="1"/>
  <c r="W92" i="10" s="1"/>
  <c r="W93" i="10" s="1"/>
  <c r="W94" i="10" s="1"/>
  <c r="W95" i="10" s="1"/>
  <c r="W96" i="10" s="1"/>
  <c r="W97" i="10" s="1"/>
  <c r="W98" i="10" s="1"/>
  <c r="W99" i="10" s="1"/>
  <c r="W100" i="10" s="1"/>
  <c r="W101" i="10" s="1"/>
  <c r="W102" i="10" s="1"/>
  <c r="W103" i="10" s="1"/>
  <c r="W104" i="10" s="1"/>
  <c r="W105" i="10" s="1"/>
  <c r="W106" i="10" s="1"/>
  <c r="W107" i="10" s="1"/>
  <c r="W108" i="10" s="1"/>
  <c r="W109" i="10" s="1"/>
  <c r="W110" i="10" s="1"/>
  <c r="W111" i="10" s="1"/>
  <c r="W112" i="10" s="1"/>
  <c r="W113" i="10" s="1"/>
  <c r="W114" i="10" s="1"/>
  <c r="W115" i="10" s="1"/>
  <c r="W116" i="10" s="1"/>
  <c r="W117" i="10" s="1"/>
  <c r="W118" i="10" s="1"/>
  <c r="W119" i="10" s="1"/>
  <c r="W120" i="10" s="1"/>
  <c r="W121" i="10" s="1"/>
  <c r="W122" i="10" s="1"/>
  <c r="W123" i="10" s="1"/>
  <c r="W124" i="10" s="1"/>
  <c r="W125" i="10" s="1"/>
  <c r="W126" i="10" s="1"/>
  <c r="W127" i="10" s="1"/>
  <c r="W128" i="10" s="1"/>
  <c r="W129" i="10" s="1"/>
  <c r="W130" i="10" s="1"/>
  <c r="W131" i="10" s="1"/>
  <c r="W132" i="10" s="1"/>
  <c r="W133" i="10" s="1"/>
  <c r="W134" i="10" s="1"/>
  <c r="W135" i="10" s="1"/>
  <c r="X38" i="10"/>
  <c r="E13" i="3" l="1"/>
  <c r="D20" i="9"/>
  <c r="C20" i="9" s="1"/>
  <c r="E12" i="10"/>
  <c r="C19" i="3"/>
  <c r="F11" i="3" s="1"/>
  <c r="Y38" i="10"/>
  <c r="Z38" i="10" s="1"/>
  <c r="X39" i="10"/>
  <c r="D7" i="10"/>
  <c r="Z37" i="10"/>
  <c r="Z36" i="10"/>
  <c r="J16" i="2"/>
  <c r="Y39" i="10" l="1"/>
  <c r="Z39" i="10" s="1"/>
  <c r="X40" i="10"/>
  <c r="D30" i="2"/>
  <c r="D35" i="2" s="1"/>
  <c r="K16" i="2"/>
  <c r="N16" i="2"/>
  <c r="B8" i="1"/>
  <c r="B9" i="1" s="1"/>
  <c r="K17" i="2"/>
  <c r="L17" i="2"/>
  <c r="L16" i="2"/>
  <c r="C15" i="15" s="1"/>
  <c r="J17" i="2"/>
  <c r="N17" i="2"/>
  <c r="M17" i="2"/>
  <c r="M16" i="2"/>
  <c r="D6" i="15"/>
  <c r="C16" i="15"/>
  <c r="C12" i="15"/>
  <c r="C13" i="15" s="1"/>
  <c r="J18" i="2"/>
  <c r="K18" i="2"/>
  <c r="L18" i="2"/>
  <c r="M18" i="2"/>
  <c r="N18" i="2"/>
  <c r="C17" i="15"/>
  <c r="Y40" i="10" l="1"/>
  <c r="Z40" i="10" s="1"/>
  <c r="X41" i="10"/>
  <c r="C9" i="1"/>
  <c r="I8" i="1"/>
  <c r="J9" i="2"/>
  <c r="C10" i="15"/>
  <c r="C11" i="15" s="1"/>
  <c r="J8" i="1" s="1"/>
  <c r="K9" i="2"/>
  <c r="J8" i="2"/>
  <c r="K8" i="2"/>
  <c r="B10" i="1"/>
  <c r="D8" i="15"/>
  <c r="C8" i="1"/>
  <c r="D36" i="2"/>
  <c r="F35" i="2"/>
  <c r="E34" i="2"/>
  <c r="Y41" i="10" l="1"/>
  <c r="Z41" i="10" s="1"/>
  <c r="X42" i="10"/>
  <c r="J10" i="2"/>
  <c r="H9" i="1"/>
  <c r="I9" i="1"/>
  <c r="K10" i="2"/>
  <c r="B34" i="2"/>
  <c r="E35" i="2"/>
  <c r="G36" i="2"/>
  <c r="D37" i="2"/>
  <c r="F36" i="2"/>
  <c r="B11" i="1"/>
  <c r="I10" i="1"/>
  <c r="C10" i="1"/>
  <c r="J9" i="1"/>
  <c r="J10" i="1"/>
  <c r="Y42" i="10" l="1"/>
  <c r="Z42" i="10" s="1"/>
  <c r="X43" i="10"/>
  <c r="H8" i="1"/>
  <c r="K8" i="1" s="1"/>
  <c r="H26" i="15"/>
  <c r="H10" i="1"/>
  <c r="K10" i="1" s="1"/>
  <c r="J11" i="1"/>
  <c r="K9" i="1"/>
  <c r="Q36" i="2"/>
  <c r="Q37" i="2" s="1"/>
  <c r="Q38" i="2" s="1"/>
  <c r="Q39" i="2" s="1"/>
  <c r="Q40" i="2" s="1"/>
  <c r="F37" i="2"/>
  <c r="D38" i="2"/>
  <c r="H37" i="2"/>
  <c r="B12" i="1"/>
  <c r="I11" i="1"/>
  <c r="C11" i="1"/>
  <c r="G37" i="2"/>
  <c r="J35" i="2"/>
  <c r="E36" i="2"/>
  <c r="H11" i="1"/>
  <c r="Y43" i="10" l="1"/>
  <c r="Z43" i="10" s="1"/>
  <c r="X44" i="10"/>
  <c r="K11" i="1"/>
  <c r="M11" i="1" s="1"/>
  <c r="M8" i="1"/>
  <c r="L8" i="1"/>
  <c r="H38" i="2"/>
  <c r="L9" i="1"/>
  <c r="M9" i="1"/>
  <c r="J36" i="2"/>
  <c r="J37" i="2" s="1"/>
  <c r="J38" i="2" s="1"/>
  <c r="J39" i="2" s="1"/>
  <c r="B35" i="2"/>
  <c r="G38" i="2"/>
  <c r="X37" i="2"/>
  <c r="X38" i="2" s="1"/>
  <c r="X39" i="2" s="1"/>
  <c r="X40" i="2" s="1"/>
  <c r="X41" i="2" s="1"/>
  <c r="I12" i="1"/>
  <c r="B13" i="1"/>
  <c r="C12" i="1"/>
  <c r="H12" i="1"/>
  <c r="J12" i="1"/>
  <c r="I38" i="2"/>
  <c r="D50" i="2"/>
  <c r="K36" i="2"/>
  <c r="E37" i="2"/>
  <c r="F38" i="2"/>
  <c r="R37" i="2"/>
  <c r="R38" i="2" s="1"/>
  <c r="R39" i="2" s="1"/>
  <c r="R40" i="2" s="1"/>
  <c r="R41" i="2" s="1"/>
  <c r="M10" i="1"/>
  <c r="L10" i="1"/>
  <c r="C30" i="2"/>
  <c r="D11" i="1" s="1"/>
  <c r="Y44" i="10" l="1"/>
  <c r="Z44" i="10" s="1"/>
  <c r="X45" i="10"/>
  <c r="L11" i="1"/>
  <c r="N11" i="1" s="1"/>
  <c r="N9" i="1"/>
  <c r="N8" i="1"/>
  <c r="Y38" i="2"/>
  <c r="Y39" i="2" s="1"/>
  <c r="Y40" i="2" s="1"/>
  <c r="Y41" i="2" s="1"/>
  <c r="Y42" i="2" s="1"/>
  <c r="G39" i="2"/>
  <c r="AE38" i="2"/>
  <c r="AE39" i="2" s="1"/>
  <c r="AE40" i="2" s="1"/>
  <c r="AE41" i="2" s="1"/>
  <c r="AE42" i="2" s="1"/>
  <c r="H39" i="2"/>
  <c r="N10" i="1"/>
  <c r="I39" i="2"/>
  <c r="I13" i="1"/>
  <c r="B14" i="1"/>
  <c r="C13" i="1"/>
  <c r="J13" i="1"/>
  <c r="H13" i="1"/>
  <c r="L37" i="2"/>
  <c r="E38" i="2"/>
  <c r="D12" i="1"/>
  <c r="D9" i="1"/>
  <c r="D8" i="1"/>
  <c r="D10" i="1"/>
  <c r="S38" i="2"/>
  <c r="S39" i="2" s="1"/>
  <c r="S40" i="2" s="1"/>
  <c r="S41" i="2" s="1"/>
  <c r="S42" i="2" s="1"/>
  <c r="F39" i="2"/>
  <c r="K37" i="2"/>
  <c r="K38" i="2" s="1"/>
  <c r="K39" i="2" s="1"/>
  <c r="K40" i="2" s="1"/>
  <c r="B36" i="2"/>
  <c r="K12" i="1"/>
  <c r="Y45" i="10" l="1"/>
  <c r="Z45" i="10" s="1"/>
  <c r="X46" i="10"/>
  <c r="K13" i="1"/>
  <c r="M13" i="1" s="1"/>
  <c r="E39" i="2"/>
  <c r="M38" i="2"/>
  <c r="D13" i="1"/>
  <c r="AF39" i="2"/>
  <c r="AF40" i="2" s="1"/>
  <c r="AF41" i="2" s="1"/>
  <c r="AF42" i="2" s="1"/>
  <c r="AF43" i="2" s="1"/>
  <c r="H40" i="2"/>
  <c r="L38" i="2"/>
  <c r="L39" i="2" s="1"/>
  <c r="L40" i="2" s="1"/>
  <c r="L41" i="2" s="1"/>
  <c r="B37" i="2"/>
  <c r="B15" i="1"/>
  <c r="I14" i="1"/>
  <c r="C14" i="1"/>
  <c r="H14" i="1"/>
  <c r="J14" i="1"/>
  <c r="T39" i="2"/>
  <c r="T40" i="2" s="1"/>
  <c r="T41" i="2" s="1"/>
  <c r="T42" i="2" s="1"/>
  <c r="T43" i="2" s="1"/>
  <c r="F40" i="2"/>
  <c r="Z39" i="2"/>
  <c r="Z40" i="2" s="1"/>
  <c r="Z41" i="2" s="1"/>
  <c r="Z42" i="2" s="1"/>
  <c r="Z43" i="2" s="1"/>
  <c r="G40" i="2"/>
  <c r="M12" i="1"/>
  <c r="L12" i="1"/>
  <c r="AL39" i="2"/>
  <c r="AL40" i="2" s="1"/>
  <c r="AL41" i="2" s="1"/>
  <c r="AL42" i="2" s="1"/>
  <c r="AL43" i="2" s="1"/>
  <c r="I40" i="2"/>
  <c r="Y46" i="10" l="1"/>
  <c r="Z46" i="10" s="1"/>
  <c r="X47" i="10"/>
  <c r="L13" i="1"/>
  <c r="N13" i="1" s="1"/>
  <c r="I41" i="2"/>
  <c r="AM40" i="2"/>
  <c r="AM41" i="2" s="1"/>
  <c r="AM42" i="2" s="1"/>
  <c r="AM43" i="2" s="1"/>
  <c r="AM44" i="2" s="1"/>
  <c r="K14" i="1"/>
  <c r="N39" i="2"/>
  <c r="E40" i="2"/>
  <c r="G41" i="2"/>
  <c r="AA40" i="2"/>
  <c r="AA41" i="2" s="1"/>
  <c r="AA42" i="2" s="1"/>
  <c r="AA43" i="2" s="1"/>
  <c r="AA44" i="2" s="1"/>
  <c r="U40" i="2"/>
  <c r="U41" i="2" s="1"/>
  <c r="U42" i="2" s="1"/>
  <c r="U43" i="2" s="1"/>
  <c r="U44" i="2" s="1"/>
  <c r="F41" i="2"/>
  <c r="B16" i="1"/>
  <c r="C15" i="1"/>
  <c r="I15" i="1"/>
  <c r="H15" i="1"/>
  <c r="J15" i="1"/>
  <c r="AG40" i="2"/>
  <c r="AG41" i="2" s="1"/>
  <c r="AG42" i="2" s="1"/>
  <c r="AG43" i="2" s="1"/>
  <c r="AG44" i="2" s="1"/>
  <c r="H41" i="2"/>
  <c r="M39" i="2"/>
  <c r="M40" i="2" s="1"/>
  <c r="M41" i="2" s="1"/>
  <c r="M42" i="2" s="1"/>
  <c r="B38" i="2"/>
  <c r="N12" i="1"/>
  <c r="D14" i="1"/>
  <c r="K15" i="1" l="1"/>
  <c r="L15" i="1" s="1"/>
  <c r="Y47" i="10"/>
  <c r="Z47" i="10" s="1"/>
  <c r="X48" i="10"/>
  <c r="G42" i="2"/>
  <c r="AB41" i="2"/>
  <c r="AB42" i="2" s="1"/>
  <c r="AB43" i="2" s="1"/>
  <c r="AB44" i="2" s="1"/>
  <c r="AB45" i="2" s="1"/>
  <c r="V41" i="2"/>
  <c r="V42" i="2" s="1"/>
  <c r="V43" i="2" s="1"/>
  <c r="V44" i="2" s="1"/>
  <c r="V45" i="2" s="1"/>
  <c r="F42" i="2"/>
  <c r="W42" i="2" s="1"/>
  <c r="E41" i="2"/>
  <c r="P41" i="2" s="1"/>
  <c r="O40" i="2"/>
  <c r="M14" i="1"/>
  <c r="L14" i="1"/>
  <c r="D15" i="1"/>
  <c r="B39" i="2"/>
  <c r="N40" i="2"/>
  <c r="N41" i="2" s="1"/>
  <c r="N42" i="2" s="1"/>
  <c r="N43" i="2" s="1"/>
  <c r="H42" i="2"/>
  <c r="AH41" i="2"/>
  <c r="AH42" i="2" s="1"/>
  <c r="AH43" i="2" s="1"/>
  <c r="AH44" i="2" s="1"/>
  <c r="AH45" i="2" s="1"/>
  <c r="I16" i="1"/>
  <c r="B17" i="1"/>
  <c r="C16" i="1"/>
  <c r="H16" i="1"/>
  <c r="J16" i="1"/>
  <c r="AN41" i="2"/>
  <c r="AN42" i="2" s="1"/>
  <c r="AN43" i="2" s="1"/>
  <c r="AN44" i="2" s="1"/>
  <c r="AN45" i="2" s="1"/>
  <c r="I42" i="2"/>
  <c r="Y48" i="10" l="1"/>
  <c r="Z48" i="10" s="1"/>
  <c r="X49" i="10"/>
  <c r="N14" i="1"/>
  <c r="M15" i="1"/>
  <c r="N15" i="1" s="1"/>
  <c r="I17" i="1"/>
  <c r="B18" i="1"/>
  <c r="C17" i="1"/>
  <c r="H17" i="1"/>
  <c r="J17" i="1"/>
  <c r="G43" i="2"/>
  <c r="AD43" i="2" s="1"/>
  <c r="AC42" i="2"/>
  <c r="AC43" i="2" s="1"/>
  <c r="AC44" i="2" s="1"/>
  <c r="AC45" i="2" s="1"/>
  <c r="AC46" i="2" s="1"/>
  <c r="AO42" i="2"/>
  <c r="AO43" i="2" s="1"/>
  <c r="AO44" i="2" s="1"/>
  <c r="AO45" i="2" s="1"/>
  <c r="AO46" i="2" s="1"/>
  <c r="I43" i="2"/>
  <c r="D16" i="1"/>
  <c r="H43" i="2"/>
  <c r="AI42" i="2"/>
  <c r="AI43" i="2" s="1"/>
  <c r="AI44" i="2" s="1"/>
  <c r="AI45" i="2" s="1"/>
  <c r="AI46" i="2" s="1"/>
  <c r="O41" i="2"/>
  <c r="O42" i="2" s="1"/>
  <c r="O43" i="2" s="1"/>
  <c r="O44" i="2" s="1"/>
  <c r="B40" i="2"/>
  <c r="P42" i="2"/>
  <c r="P43" i="2" s="1"/>
  <c r="P44" i="2" s="1"/>
  <c r="P45" i="2" s="1"/>
  <c r="B41" i="2"/>
  <c r="K16" i="1"/>
  <c r="W43" i="2"/>
  <c r="W44" i="2" s="1"/>
  <c r="W45" i="2" s="1"/>
  <c r="W46" i="2" s="1"/>
  <c r="Y49" i="10" l="1"/>
  <c r="Z49" i="10" s="1"/>
  <c r="X50" i="10"/>
  <c r="K17" i="1"/>
  <c r="L17" i="1" s="1"/>
  <c r="B42" i="2"/>
  <c r="D17" i="1"/>
  <c r="M16" i="1"/>
  <c r="L16" i="1"/>
  <c r="AD44" i="2"/>
  <c r="AD45" i="2" s="1"/>
  <c r="AD46" i="2" s="1"/>
  <c r="AD47" i="2" s="1"/>
  <c r="B19" i="1"/>
  <c r="I18" i="1"/>
  <c r="C18" i="1"/>
  <c r="H18" i="1"/>
  <c r="J18" i="1"/>
  <c r="AJ43" i="2"/>
  <c r="AJ44" i="2" s="1"/>
  <c r="AJ45" i="2" s="1"/>
  <c r="AJ46" i="2" s="1"/>
  <c r="AJ47" i="2" s="1"/>
  <c r="H44" i="2"/>
  <c r="AK44" i="2" s="1"/>
  <c r="AP43" i="2"/>
  <c r="AP44" i="2" s="1"/>
  <c r="AP45" i="2" s="1"/>
  <c r="AP46" i="2" s="1"/>
  <c r="AP47" i="2" s="1"/>
  <c r="I44" i="2"/>
  <c r="Y50" i="10" l="1"/>
  <c r="Z50" i="10" s="1"/>
  <c r="X51" i="10"/>
  <c r="M17" i="1"/>
  <c r="N17" i="1" s="1"/>
  <c r="K18" i="1"/>
  <c r="L18" i="1" s="1"/>
  <c r="I45" i="2"/>
  <c r="AR45" i="2" s="1"/>
  <c r="AQ44" i="2"/>
  <c r="AQ45" i="2" s="1"/>
  <c r="AQ46" i="2" s="1"/>
  <c r="AQ47" i="2" s="1"/>
  <c r="AQ48" i="2" s="1"/>
  <c r="D18" i="1"/>
  <c r="B43" i="2"/>
  <c r="AK45" i="2"/>
  <c r="AK46" i="2" s="1"/>
  <c r="AK47" i="2" s="1"/>
  <c r="AK48" i="2" s="1"/>
  <c r="B20" i="1"/>
  <c r="I19" i="1"/>
  <c r="C19" i="1"/>
  <c r="J19" i="1"/>
  <c r="H19" i="1"/>
  <c r="N16" i="1"/>
  <c r="Y51" i="10" l="1"/>
  <c r="Z51" i="10" s="1"/>
  <c r="X52" i="10"/>
  <c r="M18" i="1"/>
  <c r="N18" i="1" s="1"/>
  <c r="B44" i="2"/>
  <c r="K19" i="1"/>
  <c r="I20" i="1"/>
  <c r="B21" i="1"/>
  <c r="C20" i="1"/>
  <c r="J20" i="1"/>
  <c r="H20" i="1"/>
  <c r="D19" i="1"/>
  <c r="B45" i="2"/>
  <c r="AR46" i="2"/>
  <c r="AR47" i="2" s="1"/>
  <c r="AR48" i="2" s="1"/>
  <c r="AR49" i="2" s="1"/>
  <c r="Y52" i="10" l="1"/>
  <c r="Z52" i="10" s="1"/>
  <c r="X53" i="10"/>
  <c r="K20" i="1"/>
  <c r="L20" i="1" s="1"/>
  <c r="B50" i="2"/>
  <c r="C31" i="2"/>
  <c r="E20" i="1" s="1"/>
  <c r="I21" i="1"/>
  <c r="B22" i="1"/>
  <c r="C21" i="1"/>
  <c r="J21" i="1"/>
  <c r="H21" i="1"/>
  <c r="L19" i="1"/>
  <c r="M19" i="1"/>
  <c r="D20" i="1"/>
  <c r="X54" i="10" l="1"/>
  <c r="Y53" i="10"/>
  <c r="Z53" i="10" s="1"/>
  <c r="M20" i="1"/>
  <c r="N20" i="1" s="1"/>
  <c r="F20" i="1"/>
  <c r="N19" i="1"/>
  <c r="K21" i="1"/>
  <c r="L21" i="1" s="1"/>
  <c r="B23" i="1"/>
  <c r="I22" i="1"/>
  <c r="C22" i="1"/>
  <c r="J22" i="1"/>
  <c r="H22" i="1"/>
  <c r="E9" i="1"/>
  <c r="F9" i="1" s="1"/>
  <c r="E8" i="1"/>
  <c r="F8" i="1" s="1"/>
  <c r="E10" i="1"/>
  <c r="F10" i="1" s="1"/>
  <c r="E11" i="1"/>
  <c r="F11" i="1" s="1"/>
  <c r="E12" i="1"/>
  <c r="F12" i="1" s="1"/>
  <c r="E13" i="1"/>
  <c r="F13" i="1" s="1"/>
  <c r="E14" i="1"/>
  <c r="F14" i="1" s="1"/>
  <c r="E15" i="1"/>
  <c r="F15" i="1" s="1"/>
  <c r="E16" i="1"/>
  <c r="F16" i="1" s="1"/>
  <c r="E17" i="1"/>
  <c r="F17" i="1" s="1"/>
  <c r="E18" i="1"/>
  <c r="F18" i="1" s="1"/>
  <c r="E19" i="1"/>
  <c r="F19" i="1" s="1"/>
  <c r="E21" i="1"/>
  <c r="D21" i="1"/>
  <c r="X55" i="10" l="1"/>
  <c r="Y54" i="10"/>
  <c r="Z54" i="10" s="1"/>
  <c r="M21" i="1"/>
  <c r="N21" i="1" s="1"/>
  <c r="E22" i="1"/>
  <c r="D22" i="1"/>
  <c r="F21" i="1"/>
  <c r="K22" i="1"/>
  <c r="B24" i="1"/>
  <c r="I23" i="1"/>
  <c r="C23" i="1"/>
  <c r="J23" i="1"/>
  <c r="H23" i="1"/>
  <c r="Y55" i="10" l="1"/>
  <c r="Z55" i="10" s="1"/>
  <c r="X56" i="10"/>
  <c r="K23" i="1"/>
  <c r="I24" i="1"/>
  <c r="B25" i="1"/>
  <c r="C24" i="1"/>
  <c r="J24" i="1"/>
  <c r="H24" i="1"/>
  <c r="L22" i="1"/>
  <c r="M22" i="1"/>
  <c r="D23" i="1"/>
  <c r="E23" i="1"/>
  <c r="F22" i="1"/>
  <c r="F23" i="1" l="1"/>
  <c r="Y56" i="10"/>
  <c r="Z56" i="10" s="1"/>
  <c r="X57" i="10"/>
  <c r="K24" i="1"/>
  <c r="L24" i="1" s="1"/>
  <c r="I25" i="1"/>
  <c r="B26" i="1"/>
  <c r="C25" i="1"/>
  <c r="J25" i="1"/>
  <c r="H25" i="1"/>
  <c r="L23" i="1"/>
  <c r="M23" i="1"/>
  <c r="N22" i="1"/>
  <c r="D24" i="1"/>
  <c r="E24" i="1"/>
  <c r="X58" i="10" l="1"/>
  <c r="Y57" i="10"/>
  <c r="Z57" i="10" s="1"/>
  <c r="F24" i="1"/>
  <c r="K25" i="1"/>
  <c r="L25" i="1" s="1"/>
  <c r="M24" i="1"/>
  <c r="N24" i="1" s="1"/>
  <c r="N23" i="1"/>
  <c r="B27" i="1"/>
  <c r="I26" i="1"/>
  <c r="C26" i="1"/>
  <c r="H26" i="1"/>
  <c r="J26" i="1"/>
  <c r="D25" i="1"/>
  <c r="E25" i="1"/>
  <c r="X59" i="10" l="1"/>
  <c r="Y58" i="10"/>
  <c r="Z58" i="10" s="1"/>
  <c r="M25" i="1"/>
  <c r="N25" i="1" s="1"/>
  <c r="K26" i="1"/>
  <c r="L26" i="1" s="1"/>
  <c r="B28" i="1"/>
  <c r="I27" i="1"/>
  <c r="C27" i="1"/>
  <c r="H27" i="1"/>
  <c r="J27" i="1"/>
  <c r="D26" i="1"/>
  <c r="E26" i="1"/>
  <c r="F25" i="1"/>
  <c r="Y59" i="10" l="1"/>
  <c r="Z59" i="10" s="1"/>
  <c r="X60" i="10"/>
  <c r="F26" i="1"/>
  <c r="M26" i="1"/>
  <c r="N26" i="1" s="1"/>
  <c r="K27" i="1"/>
  <c r="E27" i="1"/>
  <c r="D27" i="1"/>
  <c r="I28" i="1"/>
  <c r="B29" i="1"/>
  <c r="C28" i="1"/>
  <c r="H28" i="1"/>
  <c r="J28" i="1"/>
  <c r="Y60" i="10" l="1"/>
  <c r="Z60" i="10" s="1"/>
  <c r="X61" i="10"/>
  <c r="K28" i="1"/>
  <c r="D28" i="1"/>
  <c r="E28" i="1"/>
  <c r="F27" i="1"/>
  <c r="I29" i="1"/>
  <c r="B30" i="1"/>
  <c r="C29" i="1"/>
  <c r="H29" i="1"/>
  <c r="J29" i="1"/>
  <c r="M27" i="1"/>
  <c r="L27" i="1"/>
  <c r="X62" i="10" l="1"/>
  <c r="Y61" i="10"/>
  <c r="Z61" i="10" s="1"/>
  <c r="F28" i="1"/>
  <c r="D29" i="1"/>
  <c r="E29" i="1"/>
  <c r="L28" i="1"/>
  <c r="M28" i="1"/>
  <c r="N27" i="1"/>
  <c r="B31" i="1"/>
  <c r="I30" i="1"/>
  <c r="C30" i="1"/>
  <c r="H30" i="1"/>
  <c r="J30" i="1"/>
  <c r="K29" i="1"/>
  <c r="X63" i="10" l="1"/>
  <c r="Y62" i="10"/>
  <c r="Z62" i="10" s="1"/>
  <c r="K30" i="1"/>
  <c r="L30" i="1" s="1"/>
  <c r="N28" i="1"/>
  <c r="F29" i="1"/>
  <c r="D30" i="1"/>
  <c r="E30" i="1"/>
  <c r="L29" i="1"/>
  <c r="M29" i="1"/>
  <c r="B32" i="1"/>
  <c r="I31" i="1"/>
  <c r="C31" i="1"/>
  <c r="H31" i="1"/>
  <c r="J31" i="1"/>
  <c r="Y63" i="10" l="1"/>
  <c r="Z63" i="10" s="1"/>
  <c r="X64" i="10"/>
  <c r="M30" i="1"/>
  <c r="N30" i="1" s="1"/>
  <c r="N29" i="1"/>
  <c r="F30" i="1"/>
  <c r="K31" i="1"/>
  <c r="M31" i="1" s="1"/>
  <c r="E31" i="1"/>
  <c r="D31" i="1"/>
  <c r="I32" i="1"/>
  <c r="B33" i="1"/>
  <c r="C32" i="1"/>
  <c r="H32" i="1"/>
  <c r="J32" i="1"/>
  <c r="Y64" i="10" l="1"/>
  <c r="Z64" i="10" s="1"/>
  <c r="X65" i="10"/>
  <c r="L31" i="1"/>
  <c r="N31" i="1" s="1"/>
  <c r="K32" i="1"/>
  <c r="F31" i="1"/>
  <c r="D32" i="1"/>
  <c r="E32" i="1"/>
  <c r="I33" i="1"/>
  <c r="B34" i="1"/>
  <c r="C33" i="1"/>
  <c r="H33" i="1"/>
  <c r="J33" i="1"/>
  <c r="X66" i="10" l="1"/>
  <c r="Y65" i="10"/>
  <c r="Z65" i="10" s="1"/>
  <c r="K33" i="1"/>
  <c r="D33" i="1"/>
  <c r="E33" i="1"/>
  <c r="L32" i="1"/>
  <c r="M32" i="1"/>
  <c r="B35" i="1"/>
  <c r="I34" i="1"/>
  <c r="C34" i="1"/>
  <c r="J34" i="1"/>
  <c r="H34" i="1"/>
  <c r="F32" i="1"/>
  <c r="X67" i="10" l="1"/>
  <c r="Y66" i="10"/>
  <c r="Z66" i="10" s="1"/>
  <c r="F33" i="1"/>
  <c r="N32" i="1"/>
  <c r="D34" i="1"/>
  <c r="E34" i="1"/>
  <c r="M33" i="1"/>
  <c r="L33" i="1"/>
  <c r="K34" i="1"/>
  <c r="B36" i="1"/>
  <c r="C35" i="1"/>
  <c r="I35" i="1"/>
  <c r="J35" i="1"/>
  <c r="H35" i="1"/>
  <c r="F34" i="1" l="1"/>
  <c r="X68" i="10"/>
  <c r="Y67" i="10"/>
  <c r="Z67" i="10" s="1"/>
  <c r="N33" i="1"/>
  <c r="K35" i="1"/>
  <c r="L35" i="1" s="1"/>
  <c r="D35" i="1"/>
  <c r="E35" i="1"/>
  <c r="F35" i="1" s="1"/>
  <c r="I36" i="1"/>
  <c r="B37" i="1"/>
  <c r="C36" i="1"/>
  <c r="H36" i="1"/>
  <c r="J36" i="1"/>
  <c r="L34" i="1"/>
  <c r="M34" i="1"/>
  <c r="X69" i="10" l="1"/>
  <c r="Y68" i="10"/>
  <c r="Z68" i="10" s="1"/>
  <c r="M35" i="1"/>
  <c r="N35" i="1" s="1"/>
  <c r="N34" i="1"/>
  <c r="K36" i="1"/>
  <c r="I37" i="1"/>
  <c r="B38" i="1"/>
  <c r="C37" i="1"/>
  <c r="J37" i="1"/>
  <c r="H37" i="1"/>
  <c r="D36" i="1"/>
  <c r="E36" i="1"/>
  <c r="F36" i="1" s="1"/>
  <c r="X70" i="10" l="1"/>
  <c r="Y69" i="10"/>
  <c r="Z69" i="10" s="1"/>
  <c r="K37" i="1"/>
  <c r="L37" i="1" s="1"/>
  <c r="L36" i="1"/>
  <c r="M36" i="1"/>
  <c r="D37" i="1"/>
  <c r="E37" i="1"/>
  <c r="B39" i="1"/>
  <c r="I38" i="1"/>
  <c r="C38" i="1"/>
  <c r="J38" i="1"/>
  <c r="H38" i="1"/>
  <c r="X71" i="10" l="1"/>
  <c r="Y70" i="10"/>
  <c r="Z70" i="10" s="1"/>
  <c r="F37" i="1"/>
  <c r="M37" i="1"/>
  <c r="N37" i="1" s="1"/>
  <c r="N36" i="1"/>
  <c r="D38" i="1"/>
  <c r="E38" i="1"/>
  <c r="K38" i="1"/>
  <c r="B40" i="1"/>
  <c r="I39" i="1"/>
  <c r="C39" i="1"/>
  <c r="H39" i="1"/>
  <c r="J39" i="1"/>
  <c r="X72" i="10" l="1"/>
  <c r="Y71" i="10"/>
  <c r="Z71" i="10" s="1"/>
  <c r="F38" i="1"/>
  <c r="B41" i="1"/>
  <c r="I40" i="1"/>
  <c r="C40" i="1"/>
  <c r="J40" i="1"/>
  <c r="H40" i="1"/>
  <c r="D39" i="1"/>
  <c r="E39" i="1"/>
  <c r="K39" i="1"/>
  <c r="L38" i="1"/>
  <c r="M38" i="1"/>
  <c r="X73" i="10" l="1"/>
  <c r="Y72" i="10"/>
  <c r="Z72" i="10" s="1"/>
  <c r="K40" i="1"/>
  <c r="M40" i="1" s="1"/>
  <c r="F39" i="1"/>
  <c r="I41" i="1"/>
  <c r="B42" i="1"/>
  <c r="C41" i="1"/>
  <c r="H41" i="1"/>
  <c r="J41" i="1"/>
  <c r="L39" i="1"/>
  <c r="M39" i="1"/>
  <c r="N38" i="1"/>
  <c r="D40" i="1"/>
  <c r="E40" i="1"/>
  <c r="F40" i="1" l="1"/>
  <c r="X74" i="10"/>
  <c r="Y73" i="10"/>
  <c r="Z73" i="10" s="1"/>
  <c r="L40" i="1"/>
  <c r="N40" i="1" s="1"/>
  <c r="N39" i="1"/>
  <c r="D41" i="1"/>
  <c r="E41" i="1"/>
  <c r="B43" i="1"/>
  <c r="I42" i="1"/>
  <c r="C42" i="1"/>
  <c r="J42" i="1"/>
  <c r="H42" i="1"/>
  <c r="K41" i="1"/>
  <c r="X75" i="10" l="1"/>
  <c r="Y74" i="10"/>
  <c r="Z74" i="10" s="1"/>
  <c r="F41" i="1"/>
  <c r="K42" i="1"/>
  <c r="L42" i="1" s="1"/>
  <c r="B44" i="1"/>
  <c r="I43" i="1"/>
  <c r="C43" i="1"/>
  <c r="H43" i="1"/>
  <c r="J43" i="1"/>
  <c r="D42" i="1"/>
  <c r="E42" i="1"/>
  <c r="L41" i="1"/>
  <c r="M41" i="1"/>
  <c r="F42" i="1" l="1"/>
  <c r="X76" i="10"/>
  <c r="Y75" i="10"/>
  <c r="Z75" i="10" s="1"/>
  <c r="M42" i="1"/>
  <c r="N42" i="1" s="1"/>
  <c r="B45" i="1"/>
  <c r="I44" i="1"/>
  <c r="C44" i="1"/>
  <c r="H44" i="1"/>
  <c r="J44" i="1"/>
  <c r="K43" i="1"/>
  <c r="N41" i="1"/>
  <c r="D43" i="1"/>
  <c r="E43" i="1"/>
  <c r="F43" i="1" l="1"/>
  <c r="X77" i="10"/>
  <c r="Y76" i="10"/>
  <c r="Z76" i="10" s="1"/>
  <c r="D44" i="1"/>
  <c r="E44" i="1"/>
  <c r="I45" i="1"/>
  <c r="B46" i="1"/>
  <c r="C45" i="1"/>
  <c r="J45" i="1"/>
  <c r="H45" i="1"/>
  <c r="K44" i="1"/>
  <c r="L43" i="1"/>
  <c r="M43" i="1"/>
  <c r="F44" i="1" l="1"/>
  <c r="X78" i="10"/>
  <c r="Y77" i="10"/>
  <c r="Z77" i="10" s="1"/>
  <c r="N43" i="1"/>
  <c r="K45" i="1"/>
  <c r="L45" i="1" s="1"/>
  <c r="B47" i="1"/>
  <c r="I46" i="1"/>
  <c r="C46" i="1"/>
  <c r="H46" i="1"/>
  <c r="J46" i="1"/>
  <c r="M44" i="1"/>
  <c r="L44" i="1"/>
  <c r="D45" i="1"/>
  <c r="E45" i="1"/>
  <c r="X79" i="10" l="1"/>
  <c r="Y78" i="10"/>
  <c r="Z78" i="10" s="1"/>
  <c r="M45" i="1"/>
  <c r="N45" i="1" s="1"/>
  <c r="K46" i="1"/>
  <c r="L46" i="1" s="1"/>
  <c r="N44" i="1"/>
  <c r="D46" i="1"/>
  <c r="E46" i="1"/>
  <c r="F45" i="1"/>
  <c r="B48" i="1"/>
  <c r="I47" i="1"/>
  <c r="C47" i="1"/>
  <c r="J47" i="1"/>
  <c r="H47" i="1"/>
  <c r="X80" i="10" l="1"/>
  <c r="Y79" i="10"/>
  <c r="Z79" i="10" s="1"/>
  <c r="F46" i="1"/>
  <c r="M46" i="1"/>
  <c r="N46" i="1" s="1"/>
  <c r="K47" i="1"/>
  <c r="L47" i="1" s="1"/>
  <c r="B49" i="1"/>
  <c r="I48" i="1"/>
  <c r="C48" i="1"/>
  <c r="J48" i="1"/>
  <c r="H48" i="1"/>
  <c r="E47" i="1"/>
  <c r="D47" i="1"/>
  <c r="X81" i="10" l="1"/>
  <c r="Y80" i="10"/>
  <c r="Z80" i="10" s="1"/>
  <c r="M47" i="1"/>
  <c r="N47" i="1" s="1"/>
  <c r="K48" i="1"/>
  <c r="L48" i="1" s="1"/>
  <c r="D48" i="1"/>
  <c r="E48" i="1"/>
  <c r="I49" i="1"/>
  <c r="B50" i="1"/>
  <c r="C49" i="1"/>
  <c r="H49" i="1"/>
  <c r="J49" i="1"/>
  <c r="F47" i="1"/>
  <c r="X82" i="10" l="1"/>
  <c r="Y81" i="10"/>
  <c r="Z81" i="10" s="1"/>
  <c r="M48" i="1"/>
  <c r="N48" i="1" s="1"/>
  <c r="F48" i="1"/>
  <c r="B51" i="1"/>
  <c r="I50" i="1"/>
  <c r="C50" i="1"/>
  <c r="H50" i="1"/>
  <c r="J50" i="1"/>
  <c r="K49" i="1"/>
  <c r="D49" i="1"/>
  <c r="E49" i="1"/>
  <c r="X83" i="10" l="1"/>
  <c r="Y82" i="10"/>
  <c r="Z82" i="10" s="1"/>
  <c r="F49" i="1"/>
  <c r="K50" i="1"/>
  <c r="L50" i="1" s="1"/>
  <c r="M49" i="1"/>
  <c r="L49" i="1"/>
  <c r="D50" i="1"/>
  <c r="E50" i="1"/>
  <c r="B52" i="1"/>
  <c r="I51" i="1"/>
  <c r="C51" i="1"/>
  <c r="J51" i="1"/>
  <c r="H51" i="1"/>
  <c r="F50" i="1" l="1"/>
  <c r="X84" i="10"/>
  <c r="Y83" i="10"/>
  <c r="Z83" i="10" s="1"/>
  <c r="M50" i="1"/>
  <c r="N50" i="1" s="1"/>
  <c r="D51" i="1"/>
  <c r="E51" i="1"/>
  <c r="N49" i="1"/>
  <c r="K51" i="1"/>
  <c r="B53" i="1"/>
  <c r="I52" i="1"/>
  <c r="C52" i="1"/>
  <c r="H52" i="1"/>
  <c r="J52" i="1"/>
  <c r="F51" i="1" l="1"/>
  <c r="X85" i="10"/>
  <c r="Y84" i="10"/>
  <c r="Z84" i="10" s="1"/>
  <c r="K52" i="1"/>
  <c r="I53" i="1"/>
  <c r="B54" i="1"/>
  <c r="C53" i="1"/>
  <c r="J53" i="1"/>
  <c r="H53" i="1"/>
  <c r="L51" i="1"/>
  <c r="M51" i="1"/>
  <c r="D52" i="1"/>
  <c r="E52" i="1"/>
  <c r="F52" i="1" l="1"/>
  <c r="X86" i="10"/>
  <c r="Y85" i="10"/>
  <c r="Z85" i="10" s="1"/>
  <c r="K53" i="1"/>
  <c r="L53" i="1" s="1"/>
  <c r="N51" i="1"/>
  <c r="D53" i="1"/>
  <c r="E53" i="1"/>
  <c r="B55" i="1"/>
  <c r="I54" i="1"/>
  <c r="C54" i="1"/>
  <c r="H54" i="1"/>
  <c r="J54" i="1"/>
  <c r="L52" i="1"/>
  <c r="M52" i="1"/>
  <c r="F53" i="1" l="1"/>
  <c r="X87" i="10"/>
  <c r="Y86" i="10"/>
  <c r="Z86" i="10" s="1"/>
  <c r="M53" i="1"/>
  <c r="N53" i="1" s="1"/>
  <c r="N52" i="1"/>
  <c r="K54" i="1"/>
  <c r="D54" i="1"/>
  <c r="E54" i="1"/>
  <c r="B56" i="1"/>
  <c r="C55" i="1"/>
  <c r="I55" i="1"/>
  <c r="H55" i="1"/>
  <c r="J55" i="1"/>
  <c r="X88" i="10" l="1"/>
  <c r="Y87" i="10"/>
  <c r="Z87" i="10" s="1"/>
  <c r="F54" i="1"/>
  <c r="K55" i="1"/>
  <c r="B57" i="1"/>
  <c r="I56" i="1"/>
  <c r="C56" i="1"/>
  <c r="J56" i="1"/>
  <c r="H56" i="1"/>
  <c r="E55" i="1"/>
  <c r="D55" i="1"/>
  <c r="M54" i="1"/>
  <c r="L54" i="1"/>
  <c r="X89" i="10" l="1"/>
  <c r="Y88" i="10"/>
  <c r="Z88" i="10" s="1"/>
  <c r="N54" i="1"/>
  <c r="D56" i="1"/>
  <c r="E56" i="1"/>
  <c r="L55" i="1"/>
  <c r="M55" i="1"/>
  <c r="K56" i="1"/>
  <c r="I57" i="1"/>
  <c r="B58" i="1"/>
  <c r="C57" i="1"/>
  <c r="H57" i="1"/>
  <c r="J57" i="1"/>
  <c r="F55" i="1"/>
  <c r="F56" i="1" l="1"/>
  <c r="X90" i="10"/>
  <c r="Y89" i="10"/>
  <c r="Z89" i="10" s="1"/>
  <c r="K57" i="1"/>
  <c r="M57" i="1" s="1"/>
  <c r="N55" i="1"/>
  <c r="M56" i="1"/>
  <c r="L56" i="1"/>
  <c r="B59" i="1"/>
  <c r="I58" i="1"/>
  <c r="C58" i="1"/>
  <c r="J58" i="1"/>
  <c r="H58" i="1"/>
  <c r="D57" i="1"/>
  <c r="E57" i="1"/>
  <c r="X91" i="10" l="1"/>
  <c r="Y90" i="10"/>
  <c r="Z90" i="10" s="1"/>
  <c r="L57" i="1"/>
  <c r="N57" i="1" s="1"/>
  <c r="F57" i="1"/>
  <c r="K58" i="1"/>
  <c r="I59" i="1"/>
  <c r="I60" i="1" s="1"/>
  <c r="H17" i="15" s="1"/>
  <c r="C59" i="1"/>
  <c r="H59" i="1"/>
  <c r="J59" i="1"/>
  <c r="J60" i="1" s="1"/>
  <c r="H18" i="15" s="1"/>
  <c r="D58" i="1"/>
  <c r="E58" i="1"/>
  <c r="N56" i="1"/>
  <c r="X92" i="10" l="1"/>
  <c r="Y91" i="10"/>
  <c r="Z91" i="10" s="1"/>
  <c r="M58" i="1"/>
  <c r="L58" i="1"/>
  <c r="K59" i="1"/>
  <c r="H60" i="1"/>
  <c r="F58" i="1"/>
  <c r="D59" i="1"/>
  <c r="E59" i="1"/>
  <c r="C60" i="1"/>
  <c r="H8" i="15"/>
  <c r="X93" i="10" l="1"/>
  <c r="Y92" i="10"/>
  <c r="Z92" i="10" s="1"/>
  <c r="F59" i="1"/>
  <c r="F60" i="1" s="1"/>
  <c r="H9" i="15" s="1"/>
  <c r="H10" i="15" s="1"/>
  <c r="K60" i="1"/>
  <c r="H15" i="15" s="1"/>
  <c r="H16" i="15"/>
  <c r="L59" i="1"/>
  <c r="M59" i="1"/>
  <c r="N58" i="1"/>
  <c r="X94" i="10" l="1"/>
  <c r="Y93" i="10"/>
  <c r="Z93" i="10" s="1"/>
  <c r="N59" i="1"/>
  <c r="N60" i="1" s="1"/>
  <c r="H19" i="15" s="1"/>
  <c r="H20" i="15" s="1"/>
  <c r="H25" i="15" s="1"/>
  <c r="X95" i="10" l="1"/>
  <c r="Y94" i="10"/>
  <c r="Z94" i="10" s="1"/>
  <c r="X96" i="10" l="1"/>
  <c r="Y95" i="10"/>
  <c r="Z95" i="10" s="1"/>
  <c r="X97" i="10" l="1"/>
  <c r="Y96" i="10"/>
  <c r="Z96" i="10" s="1"/>
  <c r="X98" i="10" l="1"/>
  <c r="Y97" i="10"/>
  <c r="Z97" i="10" s="1"/>
  <c r="X99" i="10" l="1"/>
  <c r="Y98" i="10"/>
  <c r="Z98" i="10" s="1"/>
  <c r="X100" i="10" l="1"/>
  <c r="Y99" i="10"/>
  <c r="Z99" i="10" s="1"/>
  <c r="X101" i="10" l="1"/>
  <c r="Y100" i="10"/>
  <c r="Z100" i="10" s="1"/>
  <c r="X102" i="10" l="1"/>
  <c r="Y101" i="10"/>
  <c r="Z101" i="10" s="1"/>
  <c r="X103" i="10" l="1"/>
  <c r="Y102" i="10"/>
  <c r="Z102" i="10" s="1"/>
  <c r="X104" i="10" l="1"/>
  <c r="Y103" i="10"/>
  <c r="Z103" i="10" s="1"/>
  <c r="X105" i="10" l="1"/>
  <c r="Y104" i="10"/>
  <c r="Z104" i="10" s="1"/>
  <c r="X106" i="10" l="1"/>
  <c r="Y105" i="10"/>
  <c r="Z105" i="10" s="1"/>
  <c r="X107" i="10" l="1"/>
  <c r="Y106" i="10"/>
  <c r="Z106" i="10" s="1"/>
  <c r="X108" i="10" l="1"/>
  <c r="Y107" i="10"/>
  <c r="Z107" i="10" s="1"/>
  <c r="X109" i="10" l="1"/>
  <c r="Y108" i="10"/>
  <c r="Z108" i="10" s="1"/>
  <c r="X110" i="10" l="1"/>
  <c r="Y109" i="10"/>
  <c r="Z109" i="10" s="1"/>
  <c r="X111" i="10" l="1"/>
  <c r="Y110" i="10"/>
  <c r="Z110" i="10" s="1"/>
  <c r="X112" i="10" l="1"/>
  <c r="Y111" i="10"/>
  <c r="Z111" i="10" s="1"/>
  <c r="X113" i="10" l="1"/>
  <c r="Y112" i="10"/>
  <c r="Z112" i="10" s="1"/>
  <c r="X114" i="10" l="1"/>
  <c r="Y113" i="10"/>
  <c r="Z113" i="10" s="1"/>
  <c r="X115" i="10" l="1"/>
  <c r="Y114" i="10"/>
  <c r="Z114" i="10" s="1"/>
  <c r="X116" i="10" l="1"/>
  <c r="Y115" i="10"/>
  <c r="Z115" i="10" s="1"/>
  <c r="X117" i="10" l="1"/>
  <c r="Y116" i="10"/>
  <c r="Z116" i="10" s="1"/>
  <c r="X118" i="10" l="1"/>
  <c r="Y117" i="10"/>
  <c r="Z117" i="10" s="1"/>
  <c r="X119" i="10" l="1"/>
  <c r="Y118" i="10"/>
  <c r="Z118" i="10" s="1"/>
  <c r="X120" i="10" l="1"/>
  <c r="Y119" i="10"/>
  <c r="Z119" i="10" s="1"/>
  <c r="X121" i="10" l="1"/>
  <c r="Y120" i="10"/>
  <c r="Z120" i="10" s="1"/>
  <c r="X122" i="10" l="1"/>
  <c r="Y121" i="10"/>
  <c r="Z121" i="10" s="1"/>
  <c r="X123" i="10" l="1"/>
  <c r="Y122" i="10"/>
  <c r="Z122" i="10" s="1"/>
  <c r="X124" i="10" l="1"/>
  <c r="Y123" i="10"/>
  <c r="Z123" i="10" s="1"/>
  <c r="X125" i="10" l="1"/>
  <c r="Y124" i="10"/>
  <c r="Z124" i="10" s="1"/>
  <c r="X126" i="10" l="1"/>
  <c r="Y125" i="10"/>
  <c r="Z125" i="10" s="1"/>
  <c r="X127" i="10" l="1"/>
  <c r="Y126" i="10"/>
  <c r="Z126" i="10" s="1"/>
  <c r="X128" i="10" l="1"/>
  <c r="Y127" i="10"/>
  <c r="Z127" i="10" s="1"/>
  <c r="X129" i="10" l="1"/>
  <c r="Y128" i="10"/>
  <c r="Z128" i="10" s="1"/>
  <c r="X130" i="10" l="1"/>
  <c r="Y129" i="10"/>
  <c r="Z129" i="10" s="1"/>
  <c r="X131" i="10" l="1"/>
  <c r="Y130" i="10"/>
  <c r="Z130" i="10" s="1"/>
  <c r="X132" i="10" l="1"/>
  <c r="Y131" i="10"/>
  <c r="Z131" i="10" s="1"/>
  <c r="X133" i="10" l="1"/>
  <c r="Y132" i="10"/>
  <c r="Z132" i="10" s="1"/>
  <c r="X134" i="10" l="1"/>
  <c r="Y133" i="10"/>
  <c r="Z133" i="10" s="1"/>
  <c r="X135" i="10" l="1"/>
  <c r="Y135" i="10" s="1"/>
  <c r="Z135" i="10" s="1"/>
  <c r="Y134" i="10"/>
  <c r="Z13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Drew</author>
  </authors>
  <commentList>
    <comment ref="C7" authorId="0" shapeId="0" xr:uid="{00000000-0006-0000-0600-000001000000}">
      <text>
        <r>
          <rPr>
            <b/>
            <sz val="9"/>
            <color indexed="81"/>
            <rFont val="Tahoma"/>
            <family val="2"/>
          </rPr>
          <t>Drew:</t>
        </r>
        <r>
          <rPr>
            <sz val="9"/>
            <color indexed="81"/>
            <rFont val="Tahoma"/>
            <family val="2"/>
          </rPr>
          <t xml:space="preserve">
From Injured Adult Females:  C10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alaughland</author>
    <author>Szymanski, Jennifer</author>
  </authors>
  <commentList>
    <comment ref="J7" authorId="0" shapeId="0" xr:uid="{00000000-0006-0000-0700-000001000000}">
      <text>
        <r>
          <rPr>
            <b/>
            <sz val="9"/>
            <color indexed="81"/>
            <rFont val="Tahoma"/>
            <family val="2"/>
          </rPr>
          <t>OWNER:</t>
        </r>
        <r>
          <rPr>
            <sz val="9"/>
            <color indexed="81"/>
            <rFont val="Tahoma"/>
            <family val="2"/>
          </rPr>
          <t xml:space="preserve">
Serves as a check on table calculation below.</t>
        </r>
      </text>
    </comment>
    <comment ref="K7" authorId="0" shapeId="0" xr:uid="{00000000-0006-0000-0700-000002000000}">
      <text>
        <r>
          <rPr>
            <b/>
            <sz val="9"/>
            <color indexed="81"/>
            <rFont val="Tahoma"/>
            <family val="2"/>
          </rPr>
          <t>OWNER:</t>
        </r>
        <r>
          <rPr>
            <sz val="9"/>
            <color indexed="81"/>
            <rFont val="Tahoma"/>
            <family val="2"/>
          </rPr>
          <t xml:space="preserve">
Shows total female reproduction for female from birth. Used for mitigation projects
</t>
        </r>
      </text>
    </comment>
    <comment ref="D29" authorId="1" shapeId="0" xr:uid="{00000000-0006-0000-0700-000003000000}">
      <text>
        <r>
          <rPr>
            <b/>
            <sz val="8"/>
            <color indexed="81"/>
            <rFont val="Tahoma"/>
            <family val="2"/>
          </rPr>
          <t>alaughland:</t>
        </r>
        <r>
          <rPr>
            <sz val="8"/>
            <color indexed="81"/>
            <rFont val="Tahoma"/>
            <family val="2"/>
          </rPr>
          <t xml:space="preserve">
From Services sheet
</t>
        </r>
      </text>
    </comment>
    <comment ref="D32" authorId="2" shapeId="0" xr:uid="{00000000-0006-0000-0700-000004000000}">
      <text>
        <r>
          <rPr>
            <b/>
            <sz val="9"/>
            <color indexed="81"/>
            <rFont val="Tahoma"/>
            <family val="2"/>
          </rPr>
          <t>Szymanski, Jennifer:</t>
        </r>
        <r>
          <rPr>
            <sz val="9"/>
            <color indexed="81"/>
            <rFont val="Tahoma"/>
            <family val="2"/>
          </rPr>
          <t xml:space="preserve">
This column gives survival probabilities for the female taken/gained</t>
        </r>
      </text>
    </comment>
    <comment ref="E32" authorId="2" shapeId="0" xr:uid="{00000000-0006-0000-0700-000005000000}">
      <text>
        <r>
          <rPr>
            <b/>
            <sz val="9"/>
            <color indexed="81"/>
            <rFont val="Tahoma"/>
            <family val="2"/>
          </rPr>
          <t>Szymanski, Jennifer:</t>
        </r>
        <r>
          <rPr>
            <sz val="9"/>
            <color indexed="81"/>
            <rFont val="Tahoma"/>
            <family val="2"/>
          </rPr>
          <t xml:space="preserve">
Pup 0, 1…4 are the offspring from Female taken or gained </t>
        </r>
      </text>
    </comment>
    <comment ref="J32" authorId="2" shapeId="0" xr:uid="{00000000-0006-0000-0700-000006000000}">
      <text>
        <r>
          <rPr>
            <b/>
            <sz val="9"/>
            <color indexed="81"/>
            <rFont val="Tahoma"/>
            <family val="2"/>
          </rPr>
          <t>Szymanski, Jennifer:</t>
        </r>
        <r>
          <rPr>
            <sz val="9"/>
            <color indexed="81"/>
            <rFont val="Tahoma"/>
            <family val="2"/>
          </rPr>
          <t xml:space="preserve">
Pup 00, 01…06 are the offspring from Pup 0; Pup 10…16 are the offspring from Pup 1, etc.</t>
        </r>
      </text>
    </comment>
  </commentList>
</comments>
</file>

<file path=xl/sharedStrings.xml><?xml version="1.0" encoding="utf-8"?>
<sst xmlns="http://schemas.openxmlformats.org/spreadsheetml/2006/main" count="330" uniqueCount="245">
  <si>
    <t>pups/female/year</t>
  </si>
  <si>
    <t>female pups/female/year</t>
  </si>
  <si>
    <t>Lost Reproduction</t>
  </si>
  <si>
    <t>female pups</t>
  </si>
  <si>
    <t>rate</t>
  </si>
  <si>
    <t>Females Added</t>
  </si>
  <si>
    <t>Gained Reproduction</t>
  </si>
  <si>
    <t>Adult Breeding Rate</t>
  </si>
  <si>
    <t>Pup Survival to breeding Juvenile</t>
  </si>
  <si>
    <t>Adult Annual Survival</t>
  </si>
  <si>
    <t>Adult Female Breeding Rate</t>
  </si>
  <si>
    <t>Juvenile Female Breeding Rate</t>
  </si>
  <si>
    <t xml:space="preserve">     Adult F-F Breeding Rate</t>
  </si>
  <si>
    <t xml:space="preserve">    Juvenile F-F Breeding Rate</t>
  </si>
  <si>
    <t>Pup Survival to juvenile</t>
  </si>
  <si>
    <t>Direct Female Take</t>
  </si>
  <si>
    <t>Project start year</t>
  </si>
  <si>
    <t>Level of threat</t>
  </si>
  <si>
    <t>Year</t>
  </si>
  <si>
    <t>Simplified Reproduction Services Model - Including lifetime of progeny</t>
  </si>
  <si>
    <t>Low Ceiling</t>
  </si>
  <si>
    <t>Yes</t>
  </si>
  <si>
    <t>No</t>
  </si>
  <si>
    <t>Project Services Pattern</t>
  </si>
  <si>
    <t>Project Year</t>
  </si>
  <si>
    <t>Female Gain</t>
  </si>
  <si>
    <t>Undiscounted</t>
  </si>
  <si>
    <t>Direct take</t>
  </si>
  <si>
    <t>female adults</t>
  </si>
  <si>
    <t>females</t>
  </si>
  <si>
    <t>Direct females added by project</t>
  </si>
  <si>
    <t>pups/female/year = AP*AB</t>
  </si>
  <si>
    <t>Summer habitat protection</t>
  </si>
  <si>
    <t>Hibernaculum protection</t>
  </si>
  <si>
    <t>Maternity habitat restoration</t>
  </si>
  <si>
    <t>Total Gain</t>
  </si>
  <si>
    <t>Juvenile Annual Survival</t>
  </si>
  <si>
    <t>Reproduction Lost Calculation</t>
  </si>
  <si>
    <t>Clumped</t>
  </si>
  <si>
    <t>25-49%</t>
  </si>
  <si>
    <t>50-74%</t>
  </si>
  <si>
    <t>&lt;25%</t>
  </si>
  <si>
    <t>75% or greater</t>
  </si>
  <si>
    <t>Foraging only</t>
  </si>
  <si>
    <t>Immediacy/Degree of Threat</t>
  </si>
  <si>
    <t>Proportion of N in accessible locations</t>
  </si>
  <si>
    <t>Habitat function</t>
  </si>
  <si>
    <t>Maternity Colony Habitat Function:</t>
  </si>
  <si>
    <t>Expected female gain</t>
  </si>
  <si>
    <t>Expected K</t>
  </si>
  <si>
    <t>Roosting &amp; Foraging</t>
  </si>
  <si>
    <t>N (population size of hibernaculum)</t>
  </si>
  <si>
    <t>Clumped or clustered</t>
  </si>
  <si>
    <t>Evidence of bat disturbance or vandalism</t>
  </si>
  <si>
    <t>Evidence of disturbance/vandalism?</t>
  </si>
  <si>
    <t xml:space="preserve">Corridor </t>
  </si>
  <si>
    <t>Bats in accessible locations</t>
  </si>
  <si>
    <t>Injured Adult Females Annually:</t>
  </si>
  <si>
    <t>Permit start year:</t>
  </si>
  <si>
    <t>Functional travel corridor</t>
  </si>
  <si>
    <t>Qualifying acreage</t>
  </si>
  <si>
    <t>Summer Habitat Protection</t>
  </si>
  <si>
    <t>Summer Habitat Restoration</t>
  </si>
  <si>
    <t>Summer habitat restoration</t>
  </si>
  <si>
    <t>Gained Reproduction Calculation</t>
  </si>
  <si>
    <t>Lambda condition</t>
  </si>
  <si>
    <t>Stationary</t>
  </si>
  <si>
    <t>Declining</t>
  </si>
  <si>
    <t>Increasing</t>
  </si>
  <si>
    <t>Breeding Rate</t>
  </si>
  <si>
    <t>Survival Rate</t>
  </si>
  <si>
    <t>Juvenile</t>
  </si>
  <si>
    <t xml:space="preserve">Adult </t>
  </si>
  <si>
    <t>Pup</t>
  </si>
  <si>
    <t>Adult</t>
  </si>
  <si>
    <t>Roosting &amp; Foraging + Corridor</t>
  </si>
  <si>
    <t>Pup 0</t>
  </si>
  <si>
    <t>Pup 1</t>
  </si>
  <si>
    <t>Pup 2</t>
  </si>
  <si>
    <t>Pup 3</t>
  </si>
  <si>
    <t>Model Condition</t>
  </si>
  <si>
    <t>Pup 01</t>
  </si>
  <si>
    <t>Pup 02</t>
  </si>
  <si>
    <t>Pup 03</t>
  </si>
  <si>
    <t>Pup 04</t>
  </si>
  <si>
    <t>Pup 11</t>
  </si>
  <si>
    <t>Pup 12</t>
  </si>
  <si>
    <t>Pup 13</t>
  </si>
  <si>
    <t>Pup 14</t>
  </si>
  <si>
    <t>Pup 21</t>
  </si>
  <si>
    <t>Pup 22</t>
  </si>
  <si>
    <t>Pup 23</t>
  </si>
  <si>
    <t>Pup 24</t>
  </si>
  <si>
    <t>Pup 31</t>
  </si>
  <si>
    <t>Pup 32</t>
  </si>
  <si>
    <t>Pup 33</t>
  </si>
  <si>
    <t>Pup 34</t>
  </si>
  <si>
    <t>Lost Female Reproduction</t>
  </si>
  <si>
    <t>Female 0</t>
  </si>
  <si>
    <t>Pup 00</t>
  </si>
  <si>
    <t>Pup 10</t>
  </si>
  <si>
    <t>Pup 20</t>
  </si>
  <si>
    <t>Pup 30</t>
  </si>
  <si>
    <t>First Generation</t>
  </si>
  <si>
    <t>Total Female Repro Potential</t>
  </si>
  <si>
    <t>Second Generation</t>
  </si>
  <si>
    <t>Lost First Generation Females</t>
  </si>
  <si>
    <t>Lost Second Generation Females</t>
  </si>
  <si>
    <t>Gained First Generation Females</t>
  </si>
  <si>
    <t>Gained Second Generation Females</t>
  </si>
  <si>
    <t>Probability of birth</t>
  </si>
  <si>
    <t>Probability of survival each year</t>
  </si>
  <si>
    <t>Key:</t>
  </si>
  <si>
    <t>used to calculate probability of the next generation of births</t>
  </si>
  <si>
    <t>Required Conditions:</t>
  </si>
  <si>
    <t>Pup 4</t>
  </si>
  <si>
    <t>Pup 40</t>
  </si>
  <si>
    <t>Pup 41</t>
  </si>
  <si>
    <t>Pup 42</t>
  </si>
  <si>
    <t>Pup 43</t>
  </si>
  <si>
    <t>Pup 44</t>
  </si>
  <si>
    <t>must be &gt;46 acres</t>
  </si>
  <si>
    <t>Tables for Summer Habitat Protection model drop downs</t>
  </si>
  <si>
    <t>Project Details:</t>
  </si>
  <si>
    <t>Qualifying acreage:</t>
  </si>
  <si>
    <t>Hibernaculum Conditions:</t>
  </si>
  <si>
    <t>Unoccupied forest block connected by corridor &gt;20 ac</t>
  </si>
  <si>
    <t>Forest Block more than 5 acres:</t>
  </si>
  <si>
    <t>Tables for Hibernaculum Protection model drop downs.</t>
  </si>
  <si>
    <t>Creators:</t>
  </si>
  <si>
    <t>Winter Habitat Protection</t>
  </si>
  <si>
    <t>Output</t>
  </si>
  <si>
    <t>Total qualifying mitigation acres</t>
  </si>
  <si>
    <t>Debit Accrued</t>
  </si>
  <si>
    <t>Mitigation Credit Accrued</t>
  </si>
  <si>
    <t>Debit</t>
  </si>
  <si>
    <t>Credit</t>
  </si>
  <si>
    <t>Input Parameters</t>
  </si>
  <si>
    <t xml:space="preserve">Total Lost  </t>
  </si>
  <si>
    <t>Net gained</t>
  </si>
  <si>
    <t>Habitat function served by the "to be protected" habitat</t>
  </si>
  <si>
    <t>Acres of "to be restored" corridor habitat</t>
  </si>
  <si>
    <t>Acres of "to be restored" forest at unoccupied terminus</t>
  </si>
  <si>
    <t>Pup= birth to entering into hibernaculum</t>
  </si>
  <si>
    <t>Mitigation Credit Due</t>
  </si>
  <si>
    <t>Total lost reproduction</t>
  </si>
  <si>
    <t>Total reproduction gained</t>
  </si>
  <si>
    <t xml:space="preserve">User guide: </t>
  </si>
  <si>
    <t>A comprehensive user guide accompanies this model.  All users are expected to read the guide before applying the model.</t>
  </si>
  <si>
    <t xml:space="preserve">Purpose:  </t>
  </si>
  <si>
    <t>To calculate the credit gained from proposed mitigation projects to offset residual take (i.e., take anticipated after avoidance and minimization measures have been applied).  Note, the model is not intended to calculate mitigation debit due to population level effects.</t>
  </si>
  <si>
    <t>NA</t>
  </si>
  <si>
    <t>Habitat Conditions:</t>
  </si>
  <si>
    <t>Pup 45</t>
  </si>
  <si>
    <t>Pup 35</t>
  </si>
  <si>
    <t>Pup 25</t>
  </si>
  <si>
    <t>Pup 15</t>
  </si>
  <si>
    <t>Pup 05</t>
  </si>
  <si>
    <t>Name the model:</t>
  </si>
  <si>
    <t>The underlying demographic model to calculate debit and credit accrued</t>
  </si>
  <si>
    <t>Project end year (include 10 years beyond last monitoring year)</t>
  </si>
  <si>
    <t>1st Year Breeding Rate</t>
  </si>
  <si>
    <t>1st Year Survival to Adult</t>
  </si>
  <si>
    <t>Ist Year - 1st year hibernation to 2nd year hibernation</t>
  </si>
  <si>
    <t>Adult= 2nd year hibernation and beyond</t>
  </si>
  <si>
    <t xml:space="preserve">Permitted take years </t>
  </si>
  <si>
    <t>Pup 46</t>
  </si>
  <si>
    <t>Pup 36</t>
  </si>
  <si>
    <t>Pup 26</t>
  </si>
  <si>
    <t>Pup 16</t>
  </si>
  <si>
    <t>Pup 06</t>
  </si>
  <si>
    <t>FG</t>
  </si>
  <si>
    <t>1st generation female pups per adult female</t>
  </si>
  <si>
    <t>Pup C</t>
  </si>
  <si>
    <t>female pups per female pup</t>
  </si>
  <si>
    <t>SG</t>
  </si>
  <si>
    <t>2nd generation female pups per adult female</t>
  </si>
  <si>
    <t>Percent Services</t>
  </si>
  <si>
    <t xml:space="preserve"> Services</t>
  </si>
  <si>
    <t>T for FG</t>
  </si>
  <si>
    <t>in both cases T for SG is 6.</t>
  </si>
  <si>
    <t>Loss from median age</t>
  </si>
  <si>
    <t>Loss/Gain from full life span</t>
  </si>
  <si>
    <t>Take</t>
  </si>
  <si>
    <t>Hibernaculum easily accessible</t>
  </si>
  <si>
    <t>Hibernaculum Accessibility</t>
  </si>
  <si>
    <t>Bats hibernating in an accessible area of the hibernaculum</t>
  </si>
  <si>
    <t>Level of non-disturbance threat</t>
  </si>
  <si>
    <t>Likelihood of threat</t>
  </si>
  <si>
    <t>Likelihood of threat occurring</t>
  </si>
  <si>
    <t>Low (&lt;30%)</t>
  </si>
  <si>
    <t>Likely (30%-60%)</t>
  </si>
  <si>
    <t>Probable (&gt;60%)</t>
  </si>
  <si>
    <t>Evidence of WNS resiliency</t>
  </si>
  <si>
    <t>Natural habitat</t>
  </si>
  <si>
    <t>Artificial habitat</t>
  </si>
  <si>
    <t>N(population size of maternity colony)</t>
  </si>
  <si>
    <t>Unoccupied terminus &gt;3 mi from occupied habitat</t>
  </si>
  <si>
    <t>Evidence of non-disturbance threat?</t>
  </si>
  <si>
    <t>Total loss</t>
  </si>
  <si>
    <t>Partial loss</t>
  </si>
  <si>
    <t xml:space="preserve">a. Vulnerability of bats to disturbance:  </t>
  </si>
  <si>
    <t>expected K</t>
  </si>
  <si>
    <t>Acres of "to be restored" roosting or foraging habitat</t>
  </si>
  <si>
    <t xml:space="preserve">  </t>
  </si>
  <si>
    <t>Mitigation Projects</t>
  </si>
  <si>
    <t>Version 1</t>
  </si>
  <si>
    <t>LBB Rates:</t>
  </si>
  <si>
    <t xml:space="preserve">Median </t>
  </si>
  <si>
    <t xml:space="preserve">Min </t>
  </si>
  <si>
    <t>Max</t>
  </si>
  <si>
    <t xml:space="preserve">Adult survival </t>
  </si>
  <si>
    <t xml:space="preserve">First‐year survival </t>
  </si>
  <si>
    <t xml:space="preserve">Adult reproductive success </t>
  </si>
  <si>
    <r>
      <t>1</t>
    </r>
    <r>
      <rPr>
        <vertAlign val="superscript"/>
        <sz val="11"/>
        <color rgb="FF000000"/>
        <rFont val="Calibri"/>
        <family val="2"/>
        <scheme val="minor"/>
      </rPr>
      <t>st</t>
    </r>
    <r>
      <rPr>
        <sz val="11"/>
        <color rgb="FF000000"/>
        <rFont val="Calibri"/>
        <family val="2"/>
        <scheme val="minor"/>
      </rPr>
      <t xml:space="preserve"> year  reproductive success</t>
    </r>
  </si>
  <si>
    <t xml:space="preserve">Yr-to-YR variation: </t>
  </si>
  <si>
    <t>Lowest</t>
  </si>
  <si>
    <t>Highest</t>
  </si>
  <si>
    <t>First‐year survival</t>
  </si>
  <si>
    <t xml:space="preserve">First year reproductive success </t>
  </si>
  <si>
    <t>WNS Resiliency Multiplier</t>
  </si>
  <si>
    <t>Unoccupied forest block more than 3 mi from occupied patch</t>
  </si>
  <si>
    <t xml:space="preserve">Existing % forest cover </t>
  </si>
  <si>
    <t>% Existing Forest Cover</t>
  </si>
  <si>
    <r>
      <t xml:space="preserve">Jennifer Szymanski, Forest Clark, Erik Olson          </t>
    </r>
    <r>
      <rPr>
        <b/>
        <sz val="11"/>
        <color theme="1"/>
        <rFont val="Calibri"/>
        <family val="2"/>
        <scheme val="minor"/>
      </rPr>
      <t>Programmer:</t>
    </r>
    <r>
      <rPr>
        <sz val="11"/>
        <color theme="1"/>
        <rFont val="Calibri"/>
        <family val="2"/>
        <scheme val="minor"/>
      </rPr>
      <t xml:space="preserve"> Drew Laughland</t>
    </r>
  </si>
  <si>
    <t>b. Proportion of N in accessible locations</t>
  </si>
  <si>
    <t xml:space="preserve">c. Likelihood of disturbance                       </t>
  </si>
  <si>
    <r>
      <t>Is the "to be protected" roosting and foraging habitat</t>
    </r>
    <r>
      <rPr>
        <sz val="11"/>
        <rFont val="Calibri"/>
        <family val="2"/>
      </rPr>
      <t>≥</t>
    </r>
    <r>
      <rPr>
        <sz val="11"/>
        <rFont val="Calibri"/>
        <family val="2"/>
        <scheme val="minor"/>
      </rPr>
      <t>5 acres?</t>
    </r>
  </si>
  <si>
    <t>Will or are both termini forest blocks protected?</t>
  </si>
  <si>
    <t>75% or more</t>
  </si>
  <si>
    <r>
      <t xml:space="preserve">Is the "To be  restored" forest area </t>
    </r>
    <r>
      <rPr>
        <sz val="11"/>
        <rFont val="Calibri"/>
        <family val="2"/>
      </rPr>
      <t>≥</t>
    </r>
    <r>
      <rPr>
        <sz val="11"/>
        <rFont val="Calibri"/>
        <family val="2"/>
        <scheme val="minor"/>
      </rPr>
      <t>5 acres?</t>
    </r>
  </si>
  <si>
    <t>20% or less</t>
  </si>
  <si>
    <t>21% to 50%</t>
  </si>
  <si>
    <t>51% to 75%</t>
  </si>
  <si>
    <t>Habitat (natural or artificial) not managed for bats</t>
  </si>
  <si>
    <t>Habitats (natural or artificial) managed for bats</t>
  </si>
  <si>
    <t>Unoccupied terminus forested block &gt;3 mi from occupied forest block?</t>
  </si>
  <si>
    <r>
      <t xml:space="preserve">Unoccupied terminus forest block </t>
    </r>
    <r>
      <rPr>
        <sz val="11"/>
        <rFont val="Calibri"/>
        <family val="2"/>
      </rPr>
      <t>≥</t>
    </r>
    <r>
      <rPr>
        <sz val="11"/>
        <rFont val="Calibri"/>
        <family val="2"/>
        <scheme val="minor"/>
      </rPr>
      <t xml:space="preserve">20 ac? </t>
    </r>
  </si>
  <si>
    <t>implies 2% mortality</t>
  </si>
  <si>
    <t>Acres "to be protected" of occupied forest block/at terminus 1</t>
  </si>
  <si>
    <t>Acres of "to be protected" corridor habitat</t>
  </si>
  <si>
    <t>Acres of "to be protected" forest at terminus 2</t>
  </si>
  <si>
    <t>Are the termini blocks ≥ 5 acres?</t>
  </si>
  <si>
    <t>Are the termini blocks &gt;500 ft apart?</t>
  </si>
  <si>
    <t>R3 LBB REA Model v1.user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</si>
</sst>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0_);_(* \(#,##0.000\);_(* &quot;-&quot;??_);_(@_)"/>
    <numFmt numFmtId="165" formatCode="_(* #,##0_);_(* \(#,##0\);_(* &quot;-&quot;??_);_(@_)"/>
    <numFmt numFmtId="166" formatCode="0.000%"/>
    <numFmt numFmtId="167" formatCode="_(* #,##0.0_);_(* \(#,##0.0\);_(* &quot;-&quot;??_);_(@_)"/>
    <numFmt numFmtId="168" formatCode="_(* #,##0.00000_);_(* \(#,##0.00000\);_(* &quot;-&quot;??_);_(@_)"/>
    <numFmt numFmtId="169" formatCode="0.000"/>
    <numFmt numFmtId="170" formatCode="0.0"/>
    <numFmt numFmtId="171" formatCode="0.0%"/>
    <numFmt numFmtId="172" formatCode="_(* #,##0.0_);_(* \(#,##0.0\);_(* &quot;-&quot;?_);_(@_)"/>
  </numFmts>
  <fonts count="91" x14ac:knownFonts="1">
    <font>
      <sz val="11"/>
      <color theme="1"/>
      <name val="Calibri"/>
      <family val="2"/>
      <scheme val="minor"/>
    </font>
    <font>
      <sz val="11"/>
      <color indexed="8"/>
      <name val="Calibri"/>
      <family val="2"/>
    </font>
    <font>
      <b/>
      <sz val="11"/>
      <color indexed="8"/>
      <name val="Calibri"/>
      <family val="2"/>
    </font>
    <font>
      <b/>
      <sz val="14"/>
      <color indexed="8"/>
      <name val="Calibri"/>
      <family val="2"/>
    </font>
    <font>
      <b/>
      <sz val="12"/>
      <color indexed="8"/>
      <name val="Calibri"/>
      <family val="2"/>
    </font>
    <font>
      <sz val="11"/>
      <color indexed="55"/>
      <name val="Calibri"/>
      <family val="2"/>
    </font>
    <font>
      <b/>
      <sz val="11"/>
      <color indexed="55"/>
      <name val="Calibri"/>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8"/>
      <color indexed="81"/>
      <name val="Tahoma"/>
      <family val="2"/>
    </font>
    <font>
      <b/>
      <sz val="8"/>
      <color indexed="81"/>
      <name val="Tahoma"/>
      <family val="2"/>
    </font>
    <font>
      <sz val="12"/>
      <name val="Calibri"/>
      <family val="2"/>
      <scheme val="minor"/>
    </font>
    <font>
      <b/>
      <sz val="12"/>
      <color rgb="FF0070C0"/>
      <name val="Gill Sans MT"/>
      <family val="2"/>
    </font>
    <font>
      <sz val="11"/>
      <name val="Calibri"/>
      <family val="2"/>
      <scheme val="minor"/>
    </font>
    <font>
      <b/>
      <sz val="11"/>
      <name val="Calibri"/>
      <family val="2"/>
    </font>
    <font>
      <b/>
      <sz val="12"/>
      <name val="Calibri"/>
      <family val="2"/>
    </font>
    <font>
      <b/>
      <sz val="12"/>
      <name val="Calibri"/>
      <family val="2"/>
      <scheme val="minor"/>
    </font>
    <font>
      <sz val="11"/>
      <color rgb="FFFF0000"/>
      <name val="Calibri"/>
      <family val="2"/>
      <scheme val="minor"/>
    </font>
    <font>
      <b/>
      <sz val="11"/>
      <color theme="0" tint="-0.34998626667073579"/>
      <name val="Calibri"/>
      <family val="2"/>
    </font>
    <font>
      <sz val="11"/>
      <color theme="0" tint="-0.34998626667073579"/>
      <name val="Calibri"/>
      <family val="2"/>
      <scheme val="minor"/>
    </font>
    <font>
      <sz val="11"/>
      <color theme="0" tint="-0.34998626667073579"/>
      <name val="Calibri"/>
      <family val="2"/>
    </font>
    <font>
      <sz val="11"/>
      <color theme="0" tint="-0.499984740745262"/>
      <name val="Calibri"/>
      <family val="2"/>
      <scheme val="minor"/>
    </font>
    <font>
      <b/>
      <sz val="12"/>
      <color theme="1"/>
      <name val="Calibri"/>
      <family val="2"/>
      <scheme val="minor"/>
    </font>
    <font>
      <sz val="11"/>
      <color theme="6" tint="-0.499984740745262"/>
      <name val="Calibri"/>
      <family val="2"/>
      <scheme val="minor"/>
    </font>
    <font>
      <b/>
      <sz val="11"/>
      <color theme="6" tint="-0.499984740745262"/>
      <name val="Calibri"/>
      <family val="2"/>
      <scheme val="minor"/>
    </font>
    <font>
      <b/>
      <sz val="11"/>
      <color theme="8" tint="-0.499984740745262"/>
      <name val="Calibri"/>
      <family val="2"/>
      <scheme val="minor"/>
    </font>
    <font>
      <b/>
      <u/>
      <sz val="11"/>
      <color theme="8" tint="-0.499984740745262"/>
      <name val="Calibri"/>
      <family val="2"/>
      <scheme val="minor"/>
    </font>
    <font>
      <b/>
      <sz val="12"/>
      <color theme="4"/>
      <name val="Calibri"/>
      <family val="2"/>
      <scheme val="minor"/>
    </font>
    <font>
      <sz val="12"/>
      <color theme="0" tint="-0.499984740745262"/>
      <name val="Calibri"/>
      <family val="2"/>
      <scheme val="minor"/>
    </font>
    <font>
      <b/>
      <sz val="14"/>
      <name val="Calibri"/>
      <family val="2"/>
    </font>
    <font>
      <b/>
      <sz val="11"/>
      <name val="Calibri"/>
      <family val="2"/>
      <scheme val="minor"/>
    </font>
    <font>
      <sz val="11"/>
      <name val="Calibri"/>
      <family val="2"/>
    </font>
    <font>
      <b/>
      <sz val="12"/>
      <color theme="0" tint="-0.34998626667073579"/>
      <name val="Calibri"/>
      <family val="2"/>
    </font>
    <font>
      <b/>
      <sz val="11"/>
      <color theme="0"/>
      <name val="Calibri"/>
      <family val="2"/>
      <scheme val="minor"/>
    </font>
    <font>
      <sz val="12"/>
      <color theme="0"/>
      <name val="Calibri"/>
      <family val="2"/>
      <scheme val="minor"/>
    </font>
    <font>
      <b/>
      <sz val="12"/>
      <color theme="3" tint="0.59999389629810485"/>
      <name val="Gill Sans MT"/>
      <family val="2"/>
    </font>
    <font>
      <sz val="11"/>
      <color theme="3" tint="0.59999389629810485"/>
      <name val="Calibri"/>
      <family val="2"/>
      <scheme val="minor"/>
    </font>
    <font>
      <b/>
      <sz val="11"/>
      <color theme="0"/>
      <name val="Calibri"/>
      <family val="2"/>
    </font>
    <font>
      <strike/>
      <sz val="11"/>
      <color theme="1"/>
      <name val="Calibri"/>
      <family val="2"/>
      <scheme val="minor"/>
    </font>
    <font>
      <sz val="11"/>
      <color theme="9" tint="-0.249977111117893"/>
      <name val="Calibri"/>
      <family val="2"/>
      <scheme val="minor"/>
    </font>
    <font>
      <b/>
      <sz val="12"/>
      <color theme="3" tint="0.39997558519241921"/>
      <name val="Calibri"/>
      <family val="2"/>
      <scheme val="minor"/>
    </font>
    <font>
      <b/>
      <sz val="12"/>
      <color theme="0" tint="-0.499984740745262"/>
      <name val="Calibri"/>
      <family val="2"/>
      <scheme val="minor"/>
    </font>
    <font>
      <b/>
      <sz val="14"/>
      <color indexed="8"/>
      <name val="Calibri"/>
      <family val="2"/>
      <scheme val="minor"/>
    </font>
    <font>
      <b/>
      <sz val="12"/>
      <color indexed="8"/>
      <name val="Calibri"/>
      <family val="2"/>
      <scheme val="minor"/>
    </font>
    <font>
      <b/>
      <sz val="12"/>
      <color theme="3"/>
      <name val="Calibri"/>
      <family val="2"/>
      <scheme val="minor"/>
    </font>
    <font>
      <b/>
      <sz val="12"/>
      <color rgb="FF0070C0"/>
      <name val="Calibri"/>
      <family val="2"/>
      <scheme val="minor"/>
    </font>
    <font>
      <b/>
      <u/>
      <sz val="12"/>
      <color theme="4"/>
      <name val="Calibri"/>
      <family val="2"/>
      <scheme val="minor"/>
    </font>
    <font>
      <b/>
      <sz val="14"/>
      <name val="Calibri"/>
      <family val="2"/>
      <scheme val="minor"/>
    </font>
    <font>
      <sz val="12"/>
      <color theme="0" tint="-4.9989318521683403E-2"/>
      <name val="Calibri"/>
      <family val="2"/>
      <scheme val="minor"/>
    </font>
    <font>
      <b/>
      <sz val="14"/>
      <color theme="1"/>
      <name val="Calibri"/>
      <family val="2"/>
    </font>
    <font>
      <b/>
      <sz val="11"/>
      <color rgb="FFFF0000"/>
      <name val="Calibri"/>
      <family val="2"/>
      <scheme val="minor"/>
    </font>
    <font>
      <sz val="11"/>
      <color theme="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sz val="12"/>
      <color rgb="FFFF0000"/>
      <name val="Calibri"/>
      <family val="2"/>
      <scheme val="minor"/>
    </font>
    <font>
      <sz val="10"/>
      <color theme="0" tint="-0.499984740745262"/>
      <name val="Calibri"/>
      <family val="2"/>
      <scheme val="minor"/>
    </font>
    <font>
      <b/>
      <sz val="10"/>
      <color theme="0" tint="-0.499984740745262"/>
      <name val="Calibri"/>
      <family val="2"/>
      <scheme val="minor"/>
    </font>
    <font>
      <sz val="10"/>
      <color theme="3"/>
      <name val="Calibri"/>
      <family val="2"/>
      <scheme val="minor"/>
    </font>
    <font>
      <sz val="10"/>
      <color theme="1" tint="0.14999847407452621"/>
      <name val="Calibri"/>
      <family val="2"/>
      <scheme val="minor"/>
    </font>
    <font>
      <sz val="10"/>
      <color theme="0" tint="-0.34998626667073579"/>
      <name val="Calibri"/>
      <family val="2"/>
      <scheme val="minor"/>
    </font>
    <font>
      <b/>
      <sz val="10"/>
      <color theme="0" tint="-0.34998626667073579"/>
      <name val="Calibri"/>
      <family val="2"/>
      <scheme val="minor"/>
    </font>
    <font>
      <sz val="11"/>
      <color rgb="FF6600CC"/>
      <name val="Calibri"/>
      <family val="2"/>
      <scheme val="minor"/>
    </font>
    <font>
      <sz val="12"/>
      <color rgb="FF6600CC"/>
      <name val="Calibri"/>
      <family val="2"/>
      <scheme val="minor"/>
    </font>
    <font>
      <sz val="12"/>
      <color theme="8"/>
      <name val="Calibri"/>
      <family val="2"/>
      <scheme val="minor"/>
    </font>
    <font>
      <b/>
      <sz val="11"/>
      <color rgb="FF000000"/>
      <name val="Calibri"/>
      <family val="2"/>
      <scheme val="minor"/>
    </font>
    <font>
      <sz val="11"/>
      <color rgb="FF000000"/>
      <name val="Calibri"/>
      <family val="2"/>
      <scheme val="minor"/>
    </font>
    <font>
      <vertAlign val="superscript"/>
      <sz val="11"/>
      <color rgb="FF000000"/>
      <name val="Calibri"/>
      <family val="2"/>
      <scheme val="minor"/>
    </font>
    <font>
      <u/>
      <sz val="11"/>
      <color rgb="FF000000"/>
      <name val="Calibri"/>
      <family val="2"/>
      <scheme val="minor"/>
    </font>
    <font>
      <sz val="11"/>
      <color theme="3" tint="0.39997558519241921"/>
      <name val="Calibri"/>
      <family val="2"/>
      <scheme val="minor"/>
    </font>
    <font>
      <sz val="10"/>
      <name val="Calibri"/>
      <family val="2"/>
      <scheme val="minor"/>
    </font>
    <font>
      <b/>
      <sz val="11"/>
      <color rgb="FFFF00FF"/>
      <name val="Calibri"/>
      <family val="2"/>
      <scheme val="minor"/>
    </font>
    <font>
      <b/>
      <sz val="11"/>
      <color theme="9" tint="-0.249977111117893"/>
      <name val="Calibri"/>
      <family val="2"/>
      <scheme val="minor"/>
    </font>
    <font>
      <b/>
      <sz val="10"/>
      <color theme="3" tint="0.39997558519241921"/>
      <name val="Calibri"/>
      <family val="2"/>
      <scheme val="minor"/>
    </font>
    <font>
      <i/>
      <sz val="11"/>
      <color theme="7"/>
      <name val="Calibri"/>
      <family val="2"/>
      <scheme val="minor"/>
    </font>
    <font>
      <sz val="11"/>
      <color theme="7"/>
      <name val="Calibri"/>
      <family val="2"/>
      <scheme val="minor"/>
    </font>
  </fonts>
  <fills count="60">
    <fill>
      <patternFill patternType="none"/>
    </fill>
    <fill>
      <patternFill patternType="gray125"/>
    </fill>
    <fill>
      <patternFill patternType="solid">
        <fgColor indexed="2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FFF99"/>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6" fillId="0" borderId="0" applyNumberFormat="0" applyFill="0" applyBorder="0" applyAlignment="0" applyProtection="0"/>
    <xf numFmtId="0" fontId="57" fillId="0" borderId="31" applyNumberFormat="0" applyFill="0" applyAlignment="0" applyProtection="0"/>
    <xf numFmtId="0" fontId="58" fillId="0" borderId="32" applyNumberFormat="0" applyFill="0" applyAlignment="0" applyProtection="0"/>
    <xf numFmtId="0" fontId="59" fillId="0" borderId="33" applyNumberFormat="0" applyFill="0" applyAlignment="0" applyProtection="0"/>
    <xf numFmtId="0" fontId="59" fillId="0" borderId="0" applyNumberFormat="0" applyFill="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2" fillId="30" borderId="0" applyNumberFormat="0" applyBorder="0" applyAlignment="0" applyProtection="0"/>
    <xf numFmtId="0" fontId="63" fillId="31" borderId="34" applyNumberFormat="0" applyAlignment="0" applyProtection="0"/>
    <xf numFmtId="0" fontId="64" fillId="32" borderId="35" applyNumberFormat="0" applyAlignment="0" applyProtection="0"/>
    <xf numFmtId="0" fontId="65" fillId="32" borderId="34" applyNumberFormat="0" applyAlignment="0" applyProtection="0"/>
    <xf numFmtId="0" fontId="66" fillId="0" borderId="36" applyNumberFormat="0" applyFill="0" applyAlignment="0" applyProtection="0"/>
    <xf numFmtId="0" fontId="37" fillId="33" borderId="37" applyNumberFormat="0" applyAlignment="0" applyProtection="0"/>
    <xf numFmtId="0" fontId="21" fillId="0" borderId="0" applyNumberFormat="0" applyFill="0" applyBorder="0" applyAlignment="0" applyProtection="0"/>
    <xf numFmtId="0" fontId="9" fillId="34" borderId="38" applyNumberFormat="0" applyFont="0" applyAlignment="0" applyProtection="0"/>
    <xf numFmtId="0" fontId="67" fillId="0" borderId="0" applyNumberFormat="0" applyFill="0" applyBorder="0" applyAlignment="0" applyProtection="0"/>
    <xf numFmtId="0" fontId="10" fillId="0" borderId="39" applyNumberFormat="0" applyFill="0" applyAlignment="0" applyProtection="0"/>
    <xf numFmtId="0" fontId="68"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9" fillId="44" borderId="0" applyNumberFormat="0" applyBorder="0" applyAlignment="0" applyProtection="0"/>
    <xf numFmtId="0" fontId="9"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9" fillId="52" borderId="0" applyNumberFormat="0" applyBorder="0" applyAlignment="0" applyProtection="0"/>
    <xf numFmtId="0" fontId="9" fillId="53" borderId="0" applyNumberFormat="0" applyBorder="0" applyAlignment="0" applyProtection="0"/>
    <xf numFmtId="0" fontId="68" fillId="54" borderId="0" applyNumberFormat="0" applyBorder="0" applyAlignment="0" applyProtection="0"/>
    <xf numFmtId="0" fontId="68" fillId="55"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68" fillId="58" borderId="0" applyNumberFormat="0" applyBorder="0" applyAlignment="0" applyProtection="0"/>
  </cellStyleXfs>
  <cellXfs count="654">
    <xf numFmtId="0" fontId="0" fillId="0" borderId="0" xfId="0"/>
    <xf numFmtId="0" fontId="3" fillId="0" borderId="0" xfId="0" applyFont="1"/>
    <xf numFmtId="0" fontId="0" fillId="0" borderId="17" xfId="0" applyBorder="1"/>
    <xf numFmtId="0" fontId="5" fillId="0" borderId="0" xfId="0" applyFont="1" applyFill="1" applyBorder="1"/>
    <xf numFmtId="0" fontId="0" fillId="0" borderId="0" xfId="0" applyFill="1" applyBorder="1"/>
    <xf numFmtId="164" fontId="0" fillId="0" borderId="0" xfId="0" applyNumberFormat="1"/>
    <xf numFmtId="0" fontId="0" fillId="0" borderId="9" xfId="0" applyBorder="1"/>
    <xf numFmtId="0" fontId="0" fillId="0" borderId="10" xfId="0" applyBorder="1"/>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0" fillId="0" borderId="22" xfId="0" applyBorder="1"/>
    <xf numFmtId="0" fontId="17" fillId="0" borderId="0" xfId="0" applyFont="1"/>
    <xf numFmtId="43" fontId="0" fillId="0" borderId="0" xfId="1" applyFont="1"/>
    <xf numFmtId="168" fontId="0" fillId="0" borderId="0" xfId="0" applyNumberFormat="1"/>
    <xf numFmtId="0" fontId="11" fillId="2" borderId="14" xfId="0" applyFont="1" applyFill="1" applyBorder="1" applyProtection="1"/>
    <xf numFmtId="0" fontId="11" fillId="2" borderId="20" xfId="0" applyFont="1" applyFill="1" applyBorder="1" applyProtection="1"/>
    <xf numFmtId="0" fontId="0" fillId="4" borderId="11" xfId="0" applyFont="1" applyFill="1" applyBorder="1" applyProtection="1"/>
    <xf numFmtId="0" fontId="21" fillId="0" borderId="0" xfId="0" applyFont="1" applyProtection="1"/>
    <xf numFmtId="0" fontId="0" fillId="4" borderId="21" xfId="0" applyFont="1" applyFill="1" applyBorder="1" applyProtection="1"/>
    <xf numFmtId="0" fontId="0" fillId="4" borderId="9" xfId="0" applyFont="1" applyFill="1" applyBorder="1" applyAlignment="1" applyProtection="1">
      <alignment horizontal="right"/>
    </xf>
    <xf numFmtId="166" fontId="17" fillId="4" borderId="9" xfId="0" applyNumberFormat="1" applyFont="1" applyFill="1" applyBorder="1" applyAlignment="1" applyProtection="1">
      <alignment horizontal="right"/>
    </xf>
    <xf numFmtId="0" fontId="17" fillId="4" borderId="9" xfId="0" applyFont="1" applyFill="1" applyBorder="1" applyProtection="1"/>
    <xf numFmtId="0" fontId="17" fillId="4" borderId="10" xfId="0" applyFont="1" applyFill="1" applyBorder="1" applyProtection="1"/>
    <xf numFmtId="1" fontId="17" fillId="4" borderId="19" xfId="2" applyNumberFormat="1" applyFont="1" applyFill="1" applyBorder="1" applyAlignment="1" applyProtection="1">
      <alignment horizontal="right"/>
    </xf>
    <xf numFmtId="0" fontId="17" fillId="4" borderId="21" xfId="0" applyFont="1" applyFill="1" applyBorder="1" applyProtection="1"/>
    <xf numFmtId="1" fontId="17" fillId="4" borderId="20" xfId="0" applyNumberFormat="1" applyFont="1" applyFill="1" applyBorder="1" applyAlignment="1" applyProtection="1">
      <alignment horizontal="right"/>
    </xf>
    <xf numFmtId="1" fontId="17" fillId="4" borderId="19" xfId="0" applyNumberFormat="1" applyFont="1" applyFill="1" applyBorder="1" applyAlignment="1" applyProtection="1">
      <alignment horizontal="right"/>
    </xf>
    <xf numFmtId="1" fontId="0" fillId="4" borderId="20" xfId="2" applyNumberFormat="1" applyFont="1" applyFill="1" applyBorder="1" applyAlignment="1" applyProtection="1">
      <alignment horizontal="right"/>
    </xf>
    <xf numFmtId="1" fontId="0" fillId="4" borderId="19" xfId="2" applyNumberFormat="1" applyFont="1" applyFill="1" applyBorder="1" applyAlignment="1" applyProtection="1">
      <alignment horizontal="right"/>
    </xf>
    <xf numFmtId="0" fontId="17" fillId="0" borderId="0" xfId="0" applyFont="1" applyProtection="1"/>
    <xf numFmtId="0" fontId="0" fillId="0" borderId="0" xfId="0" applyFill="1"/>
    <xf numFmtId="0" fontId="0" fillId="0" borderId="0" xfId="0"/>
    <xf numFmtId="164" fontId="9" fillId="0" borderId="0" xfId="1" applyNumberFormat="1" applyFont="1"/>
    <xf numFmtId="1" fontId="17" fillId="4" borderId="20" xfId="2" applyNumberFormat="1" applyFont="1" applyFill="1" applyBorder="1" applyAlignment="1" applyProtection="1">
      <alignment horizontal="right"/>
    </xf>
    <xf numFmtId="0" fontId="0" fillId="3" borderId="11" xfId="0" applyFont="1" applyFill="1" applyBorder="1" applyAlignment="1" applyProtection="1">
      <alignment horizontal="left"/>
    </xf>
    <xf numFmtId="1" fontId="0" fillId="4" borderId="14" xfId="2" applyNumberFormat="1" applyFont="1" applyFill="1" applyBorder="1" applyAlignment="1" applyProtection="1">
      <alignment horizontal="right"/>
    </xf>
    <xf numFmtId="1" fontId="0" fillId="4" borderId="22" xfId="2" applyNumberFormat="1" applyFont="1" applyFill="1" applyBorder="1" applyAlignment="1" applyProtection="1">
      <alignment horizontal="right"/>
    </xf>
    <xf numFmtId="0" fontId="17" fillId="4" borderId="22" xfId="0" applyFont="1" applyFill="1" applyBorder="1" applyProtection="1"/>
    <xf numFmtId="1" fontId="17" fillId="4" borderId="22" xfId="0" applyNumberFormat="1" applyFont="1" applyFill="1" applyBorder="1" applyAlignment="1" applyProtection="1">
      <alignment horizontal="right"/>
    </xf>
    <xf numFmtId="0" fontId="25" fillId="4" borderId="22" xfId="0" applyFont="1" applyFill="1" applyBorder="1" applyAlignment="1" applyProtection="1">
      <alignment horizontal="right"/>
    </xf>
    <xf numFmtId="0" fontId="2" fillId="4" borderId="1" xfId="0" applyFont="1" applyFill="1" applyBorder="1"/>
    <xf numFmtId="0" fontId="2" fillId="4" borderId="4" xfId="0" applyFont="1" applyFill="1" applyBorder="1"/>
    <xf numFmtId="0" fontId="6" fillId="4" borderId="4" xfId="0" applyFont="1" applyFill="1" applyBorder="1"/>
    <xf numFmtId="0" fontId="0" fillId="4" borderId="4" xfId="0" applyFill="1" applyBorder="1"/>
    <xf numFmtId="0" fontId="0" fillId="4" borderId="5" xfId="0" applyFill="1" applyBorder="1"/>
    <xf numFmtId="0" fontId="0" fillId="4" borderId="5" xfId="0" applyFont="1" applyFill="1" applyBorder="1"/>
    <xf numFmtId="0" fontId="5" fillId="4" borderId="5" xfId="0" applyFont="1" applyFill="1" applyBorder="1"/>
    <xf numFmtId="0" fontId="0" fillId="4" borderId="8" xfId="0" applyFill="1" applyBorder="1"/>
    <xf numFmtId="0" fontId="0" fillId="0" borderId="0" xfId="0" applyAlignment="1">
      <alignment wrapText="1"/>
    </xf>
    <xf numFmtId="1" fontId="0" fillId="0" borderId="9" xfId="0" applyNumberFormat="1" applyBorder="1"/>
    <xf numFmtId="0" fontId="0" fillId="16" borderId="21" xfId="0" applyFill="1" applyBorder="1"/>
    <xf numFmtId="0" fontId="0" fillId="16" borderId="14" xfId="0" applyFill="1" applyBorder="1"/>
    <xf numFmtId="0" fontId="0" fillId="16" borderId="20" xfId="0" applyFill="1" applyBorder="1"/>
    <xf numFmtId="0" fontId="18" fillId="16" borderId="9" xfId="0" applyFont="1" applyFill="1" applyBorder="1"/>
    <xf numFmtId="0" fontId="0" fillId="16" borderId="19" xfId="0" applyFill="1" applyBorder="1"/>
    <xf numFmtId="0" fontId="35" fillId="16" borderId="18" xfId="0" quotePrefix="1" applyFont="1" applyFill="1" applyBorder="1"/>
    <xf numFmtId="0" fontId="17" fillId="16" borderId="18" xfId="0" applyFont="1" applyFill="1" applyBorder="1"/>
    <xf numFmtId="0" fontId="0" fillId="16" borderId="10" xfId="0" applyFill="1" applyBorder="1"/>
    <xf numFmtId="0" fontId="0" fillId="16" borderId="22" xfId="0" applyFill="1" applyBorder="1"/>
    <xf numFmtId="0" fontId="0" fillId="17" borderId="0" xfId="0" applyFill="1"/>
    <xf numFmtId="0" fontId="2" fillId="15" borderId="11" xfId="0" applyFont="1" applyFill="1" applyBorder="1" applyAlignment="1">
      <alignment horizontal="center" wrapText="1"/>
    </xf>
    <xf numFmtId="0" fontId="2" fillId="15" borderId="12" xfId="0" applyFont="1" applyFill="1" applyBorder="1" applyAlignment="1">
      <alignment horizontal="center" wrapText="1"/>
    </xf>
    <xf numFmtId="43" fontId="9" fillId="15" borderId="21" xfId="1" applyFont="1" applyFill="1" applyBorder="1"/>
    <xf numFmtId="43" fontId="9" fillId="15" borderId="0" xfId="1" applyFont="1" applyFill="1" applyBorder="1"/>
    <xf numFmtId="43" fontId="9" fillId="15" borderId="9" xfId="1" applyFont="1" applyFill="1" applyBorder="1"/>
    <xf numFmtId="43" fontId="9" fillId="15" borderId="10" xfId="1" applyFont="1" applyFill="1" applyBorder="1"/>
    <xf numFmtId="43" fontId="9" fillId="15" borderId="22" xfId="1" applyFont="1" applyFill="1" applyBorder="1"/>
    <xf numFmtId="0" fontId="2" fillId="14" borderId="11" xfId="0" applyFont="1" applyFill="1" applyBorder="1" applyAlignment="1">
      <alignment horizontal="center" wrapText="1"/>
    </xf>
    <xf numFmtId="168" fontId="2" fillId="10" borderId="12" xfId="0" applyNumberFormat="1" applyFont="1" applyFill="1" applyBorder="1" applyAlignment="1">
      <alignment horizontal="center" wrapText="1"/>
    </xf>
    <xf numFmtId="43" fontId="9" fillId="10" borderId="0" xfId="1" applyFont="1" applyFill="1" applyBorder="1"/>
    <xf numFmtId="0" fontId="2" fillId="20" borderId="11" xfId="0" applyFont="1" applyFill="1" applyBorder="1" applyAlignment="1">
      <alignment horizontal="center" wrapText="1"/>
    </xf>
    <xf numFmtId="0" fontId="0" fillId="20" borderId="9" xfId="0" applyFill="1" applyBorder="1"/>
    <xf numFmtId="0" fontId="0" fillId="20" borderId="10" xfId="0" applyFill="1" applyBorder="1"/>
    <xf numFmtId="0" fontId="4" fillId="20" borderId="7" xfId="0" applyFont="1" applyFill="1" applyBorder="1"/>
    <xf numFmtId="0" fontId="2" fillId="10" borderId="21" xfId="0" applyFont="1" applyFill="1" applyBorder="1"/>
    <xf numFmtId="0" fontId="0" fillId="10" borderId="20" xfId="0" applyFill="1" applyBorder="1"/>
    <xf numFmtId="0" fontId="1" fillId="10" borderId="9" xfId="0" applyFont="1" applyFill="1" applyBorder="1" applyAlignment="1">
      <alignment horizontal="left" indent="1"/>
    </xf>
    <xf numFmtId="0" fontId="0" fillId="10" borderId="18" xfId="0" applyFill="1" applyBorder="1"/>
    <xf numFmtId="0" fontId="10" fillId="15" borderId="21" xfId="0" applyFont="1" applyFill="1" applyBorder="1"/>
    <xf numFmtId="0" fontId="0" fillId="15" borderId="14" xfId="0" applyFill="1" applyBorder="1"/>
    <xf numFmtId="0" fontId="0" fillId="15" borderId="20" xfId="0" applyFill="1" applyBorder="1"/>
    <xf numFmtId="0" fontId="0" fillId="15" borderId="9" xfId="0" applyFill="1" applyBorder="1" applyAlignment="1">
      <alignment horizontal="left" indent="1"/>
    </xf>
    <xf numFmtId="0" fontId="0" fillId="15" borderId="18" xfId="0" applyFill="1" applyBorder="1"/>
    <xf numFmtId="0" fontId="0" fillId="15" borderId="9" xfId="0" applyFill="1" applyBorder="1" applyAlignment="1">
      <alignment horizontal="left" indent="3"/>
    </xf>
    <xf numFmtId="0" fontId="1" fillId="15" borderId="9" xfId="0" applyFont="1" applyFill="1" applyBorder="1" applyAlignment="1">
      <alignment horizontal="left" indent="1"/>
    </xf>
    <xf numFmtId="0" fontId="10" fillId="18" borderId="19" xfId="0" applyFont="1" applyFill="1" applyBorder="1"/>
    <xf numFmtId="0" fontId="41" fillId="18" borderId="10" xfId="0" applyFont="1" applyFill="1" applyBorder="1" applyAlignment="1">
      <alignment horizontal="left" indent="1"/>
    </xf>
    <xf numFmtId="0" fontId="41" fillId="21" borderId="10" xfId="0" applyFont="1" applyFill="1" applyBorder="1" applyAlignment="1">
      <alignment horizontal="left" indent="1"/>
    </xf>
    <xf numFmtId="0" fontId="37" fillId="21" borderId="19" xfId="0" applyFont="1" applyFill="1" applyBorder="1"/>
    <xf numFmtId="0" fontId="0" fillId="0" borderId="0" xfId="0" applyAlignment="1">
      <alignment horizontal="center"/>
    </xf>
    <xf numFmtId="0" fontId="0" fillId="6" borderId="0" xfId="0" applyFill="1"/>
    <xf numFmtId="0" fontId="0" fillId="0" borderId="0" xfId="0" applyFill="1"/>
    <xf numFmtId="0" fontId="0" fillId="0" borderId="0" xfId="0" applyFill="1" applyBorder="1" applyProtection="1"/>
    <xf numFmtId="164" fontId="9" fillId="0" borderId="21" xfId="1" applyNumberFormat="1" applyFont="1" applyBorder="1"/>
    <xf numFmtId="164" fontId="9" fillId="0" borderId="10" xfId="1" applyNumberFormat="1" applyFont="1" applyBorder="1"/>
    <xf numFmtId="164" fontId="0" fillId="0" borderId="22" xfId="1" applyNumberFormat="1" applyFont="1" applyBorder="1"/>
    <xf numFmtId="164" fontId="0" fillId="0" borderId="19" xfId="1" applyNumberFormat="1" applyFont="1" applyBorder="1"/>
    <xf numFmtId="164" fontId="0" fillId="0" borderId="14" xfId="0" applyNumberFormat="1" applyBorder="1"/>
    <xf numFmtId="164" fontId="0" fillId="0" borderId="20" xfId="0" applyNumberFormat="1" applyBorder="1"/>
    <xf numFmtId="164" fontId="9" fillId="0" borderId="9" xfId="1" applyNumberFormat="1" applyFont="1" applyBorder="1"/>
    <xf numFmtId="164" fontId="0" fillId="0" borderId="0" xfId="0" applyNumberFormat="1" applyBorder="1"/>
    <xf numFmtId="164" fontId="0" fillId="0" borderId="18" xfId="0" applyNumberFormat="1" applyBorder="1"/>
    <xf numFmtId="164" fontId="0" fillId="0" borderId="22" xfId="0" applyNumberFormat="1" applyBorder="1"/>
    <xf numFmtId="164" fontId="0" fillId="0" borderId="19" xfId="0" applyNumberFormat="1" applyBorder="1"/>
    <xf numFmtId="164" fontId="0" fillId="0" borderId="21" xfId="1" applyNumberFormat="1" applyFont="1" applyBorder="1"/>
    <xf numFmtId="164" fontId="0" fillId="0" borderId="9" xfId="1" applyNumberFormat="1" applyFont="1" applyBorder="1"/>
    <xf numFmtId="164" fontId="0" fillId="0" borderId="10" xfId="1" applyNumberFormat="1" applyFont="1" applyBorder="1"/>
    <xf numFmtId="164" fontId="9" fillId="0" borderId="20" xfId="1" applyNumberFormat="1" applyFont="1" applyBorder="1"/>
    <xf numFmtId="164" fontId="9" fillId="0" borderId="18" xfId="1" applyNumberFormat="1" applyFont="1" applyBorder="1"/>
    <xf numFmtId="164" fontId="9" fillId="0" borderId="19" xfId="1" applyNumberFormat="1" applyFont="1" applyBorder="1"/>
    <xf numFmtId="0" fontId="10" fillId="0" borderId="0" xfId="0" applyFont="1"/>
    <xf numFmtId="0" fontId="42" fillId="0" borderId="0" xfId="0" applyFont="1" applyProtection="1"/>
    <xf numFmtId="2" fontId="42" fillId="3" borderId="17" xfId="0" applyNumberFormat="1" applyFont="1" applyFill="1" applyBorder="1" applyProtection="1"/>
    <xf numFmtId="0" fontId="0" fillId="3" borderId="21" xfId="0" applyFont="1" applyFill="1" applyBorder="1" applyAlignment="1" applyProtection="1">
      <alignment horizontal="right"/>
    </xf>
    <xf numFmtId="2" fontId="42" fillId="3" borderId="20" xfId="0" applyNumberFormat="1" applyFont="1" applyFill="1" applyBorder="1" applyProtection="1"/>
    <xf numFmtId="165" fontId="9" fillId="0" borderId="0" xfId="1" applyNumberFormat="1" applyFont="1"/>
    <xf numFmtId="165" fontId="0" fillId="0" borderId="0" xfId="1" applyNumberFormat="1" applyFont="1"/>
    <xf numFmtId="164" fontId="0" fillId="0" borderId="18" xfId="1" applyNumberFormat="1" applyFont="1" applyBorder="1" applyAlignment="1">
      <alignment horizontal="center"/>
    </xf>
    <xf numFmtId="0" fontId="0" fillId="0" borderId="11" xfId="0" applyBorder="1" applyAlignment="1">
      <alignment horizontal="center"/>
    </xf>
    <xf numFmtId="0" fontId="0" fillId="0" borderId="17" xfId="0" applyBorder="1" applyAlignment="1">
      <alignment horizontal="center"/>
    </xf>
    <xf numFmtId="43" fontId="0" fillId="24" borderId="17" xfId="1" applyFont="1" applyFill="1" applyBorder="1" applyAlignment="1">
      <alignment horizontal="center"/>
    </xf>
    <xf numFmtId="164" fontId="0" fillId="24" borderId="17" xfId="1" applyNumberFormat="1" applyFont="1" applyFill="1" applyBorder="1" applyAlignment="1">
      <alignment horizontal="center"/>
    </xf>
    <xf numFmtId="164" fontId="0" fillId="0" borderId="18" xfId="0" applyNumberFormat="1" applyBorder="1" applyAlignment="1">
      <alignment horizontal="center"/>
    </xf>
    <xf numFmtId="0" fontId="0" fillId="0" borderId="21" xfId="0" applyBorder="1"/>
    <xf numFmtId="0" fontId="0" fillId="0" borderId="14" xfId="0" applyBorder="1"/>
    <xf numFmtId="0" fontId="10" fillId="4" borderId="14" xfId="0" applyFont="1" applyFill="1" applyBorder="1"/>
    <xf numFmtId="0" fontId="0" fillId="4" borderId="14" xfId="0" applyFill="1" applyBorder="1"/>
    <xf numFmtId="0" fontId="10" fillId="7" borderId="14" xfId="0" applyFont="1" applyFill="1" applyBorder="1"/>
    <xf numFmtId="0" fontId="0" fillId="7" borderId="14" xfId="0" applyFill="1" applyBorder="1"/>
    <xf numFmtId="0" fontId="0" fillId="0" borderId="0" xfId="0" applyBorder="1"/>
    <xf numFmtId="164" fontId="0" fillId="22" borderId="0" xfId="1" applyNumberFormat="1" applyFont="1" applyFill="1" applyBorder="1"/>
    <xf numFmtId="164" fontId="0" fillId="0" borderId="0" xfId="1" applyNumberFormat="1" applyFont="1" applyBorder="1"/>
    <xf numFmtId="164" fontId="0" fillId="15" borderId="0" xfId="1" applyNumberFormat="1" applyFont="1" applyFill="1" applyBorder="1"/>
    <xf numFmtId="164" fontId="0" fillId="23" borderId="0" xfId="1" applyNumberFormat="1" applyFont="1" applyFill="1" applyBorder="1"/>
    <xf numFmtId="164" fontId="0" fillId="4" borderId="0" xfId="1" applyNumberFormat="1" applyFont="1" applyFill="1" applyBorder="1"/>
    <xf numFmtId="164" fontId="0" fillId="0" borderId="0" xfId="1" applyNumberFormat="1" applyFont="1" applyFill="1" applyBorder="1"/>
    <xf numFmtId="43" fontId="0" fillId="0" borderId="0" xfId="0" applyNumberFormat="1" applyBorder="1"/>
    <xf numFmtId="164" fontId="0" fillId="25" borderId="0" xfId="1" applyNumberFormat="1" applyFont="1" applyFill="1" applyBorder="1"/>
    <xf numFmtId="0" fontId="0" fillId="9" borderId="14" xfId="0" applyFont="1" applyFill="1" applyBorder="1" applyProtection="1"/>
    <xf numFmtId="0" fontId="11" fillId="9" borderId="9" xfId="0" applyFont="1" applyFill="1" applyBorder="1" applyAlignment="1" applyProtection="1">
      <alignment horizontal="right"/>
    </xf>
    <xf numFmtId="0" fontId="17" fillId="9" borderId="0" xfId="0" applyFont="1" applyFill="1" applyBorder="1" applyProtection="1"/>
    <xf numFmtId="0" fontId="16" fillId="8" borderId="2" xfId="0" applyFont="1" applyFill="1" applyBorder="1" applyAlignment="1" applyProtection="1">
      <alignment horizontal="right"/>
      <protection locked="0"/>
    </xf>
    <xf numFmtId="0" fontId="16" fillId="8" borderId="0" xfId="0" applyFont="1" applyFill="1" applyBorder="1" applyAlignment="1" applyProtection="1">
      <alignment horizontal="right"/>
      <protection locked="0"/>
    </xf>
    <xf numFmtId="169" fontId="39" fillId="8" borderId="0" xfId="0" applyNumberFormat="1" applyFont="1" applyFill="1" applyBorder="1" applyAlignment="1" applyProtection="1">
      <alignment horizontal="right"/>
      <protection locked="0"/>
    </xf>
    <xf numFmtId="0" fontId="40" fillId="8" borderId="0" xfId="0" applyFont="1" applyFill="1" applyBorder="1" applyAlignment="1">
      <alignment horizontal="right"/>
    </xf>
    <xf numFmtId="169" fontId="39" fillId="8" borderId="7" xfId="0" applyNumberFormat="1" applyFont="1" applyFill="1" applyBorder="1" applyAlignment="1" applyProtection="1">
      <alignment horizontal="right"/>
      <protection locked="0"/>
    </xf>
    <xf numFmtId="0" fontId="18" fillId="4" borderId="4" xfId="0" applyFont="1" applyFill="1" applyBorder="1"/>
    <xf numFmtId="0" fontId="18" fillId="4" borderId="6" xfId="0" applyFont="1" applyFill="1" applyBorder="1"/>
    <xf numFmtId="164" fontId="24" fillId="8" borderId="0" xfId="1" applyNumberFormat="1" applyFont="1" applyFill="1" applyBorder="1" applyAlignment="1">
      <alignment horizontal="right"/>
    </xf>
    <xf numFmtId="0" fontId="23" fillId="4" borderId="3" xfId="0" applyFont="1" applyFill="1" applyBorder="1"/>
    <xf numFmtId="0" fontId="10" fillId="4" borderId="10" xfId="0" applyFont="1" applyFill="1" applyBorder="1" applyProtection="1"/>
    <xf numFmtId="0" fontId="17" fillId="3" borderId="9" xfId="0" applyFont="1" applyFill="1" applyBorder="1" applyAlignment="1" applyProtection="1">
      <alignment horizontal="right"/>
    </xf>
    <xf numFmtId="0" fontId="11" fillId="3" borderId="14" xfId="0" applyFont="1" applyFill="1" applyBorder="1" applyProtection="1"/>
    <xf numFmtId="0" fontId="11" fillId="3" borderId="20" xfId="0" applyFont="1" applyFill="1" applyBorder="1" applyProtection="1"/>
    <xf numFmtId="9" fontId="20" fillId="3" borderId="21" xfId="2" applyFont="1" applyFill="1" applyBorder="1" applyAlignment="1" applyProtection="1">
      <alignment horizontal="left" wrapText="1"/>
    </xf>
    <xf numFmtId="0" fontId="26" fillId="3" borderId="10" xfId="0" applyFont="1" applyFill="1" applyBorder="1" applyProtection="1"/>
    <xf numFmtId="0" fontId="11" fillId="3" borderId="14" xfId="0" applyFont="1" applyFill="1" applyBorder="1" applyAlignment="1" applyProtection="1">
      <alignment horizontal="right"/>
    </xf>
    <xf numFmtId="0" fontId="11" fillId="0" borderId="0" xfId="0" applyFont="1"/>
    <xf numFmtId="9" fontId="15" fillId="4" borderId="17" xfId="2" applyNumberFormat="1" applyFont="1" applyFill="1" applyBorder="1" applyAlignment="1" applyProtection="1"/>
    <xf numFmtId="0" fontId="20" fillId="4" borderId="11" xfId="0" applyFont="1" applyFill="1" applyBorder="1" applyAlignment="1" applyProtection="1">
      <alignment horizontal="left"/>
    </xf>
    <xf numFmtId="9" fontId="15" fillId="4" borderId="20" xfId="2" applyNumberFormat="1" applyFont="1" applyFill="1" applyBorder="1" applyAlignment="1" applyProtection="1"/>
    <xf numFmtId="0" fontId="17" fillId="4" borderId="10" xfId="0" applyFont="1" applyFill="1" applyBorder="1" applyAlignment="1" applyProtection="1">
      <alignment horizontal="right"/>
    </xf>
    <xf numFmtId="9" fontId="15" fillId="4" borderId="19" xfId="2" applyNumberFormat="1" applyFont="1" applyFill="1" applyBorder="1" applyAlignment="1" applyProtection="1"/>
    <xf numFmtId="9" fontId="15" fillId="4" borderId="18" xfId="2" applyNumberFormat="1" applyFont="1" applyFill="1" applyBorder="1" applyAlignment="1" applyProtection="1"/>
    <xf numFmtId="0" fontId="46" fillId="2" borderId="21" xfId="0" applyFont="1" applyFill="1" applyBorder="1" applyAlignment="1" applyProtection="1">
      <alignment horizontal="left"/>
    </xf>
    <xf numFmtId="0" fontId="0" fillId="5" borderId="14" xfId="0" applyFont="1" applyFill="1" applyBorder="1" applyProtection="1"/>
    <xf numFmtId="0" fontId="0" fillId="5" borderId="20" xfId="0" applyFont="1" applyFill="1" applyBorder="1" applyProtection="1"/>
    <xf numFmtId="0" fontId="47" fillId="9" borderId="21" xfId="0" applyFont="1" applyFill="1" applyBorder="1" applyAlignment="1" applyProtection="1">
      <alignment horizontal="left"/>
    </xf>
    <xf numFmtId="0" fontId="0" fillId="9" borderId="20" xfId="0" applyFont="1" applyFill="1" applyBorder="1" applyProtection="1"/>
    <xf numFmtId="1" fontId="31" fillId="13" borderId="0" xfId="1" applyNumberFormat="1" applyFont="1" applyFill="1" applyBorder="1" applyAlignment="1" applyProtection="1">
      <alignment horizontal="right"/>
      <protection locked="0"/>
    </xf>
    <xf numFmtId="0" fontId="0" fillId="9" borderId="0" xfId="0" applyFont="1" applyFill="1" applyBorder="1" applyProtection="1"/>
    <xf numFmtId="0" fontId="0" fillId="9" borderId="18" xfId="0" applyFont="1" applyFill="1" applyBorder="1" applyProtection="1"/>
    <xf numFmtId="0" fontId="31" fillId="9" borderId="18" xfId="0" applyFont="1" applyFill="1" applyBorder="1" applyAlignment="1" applyProtection="1">
      <alignment horizontal="center"/>
      <protection locked="0"/>
    </xf>
    <xf numFmtId="0" fontId="0" fillId="0" borderId="0" xfId="0" applyFont="1" applyFill="1" applyBorder="1" applyAlignment="1" applyProtection="1">
      <alignment horizontal="right"/>
    </xf>
    <xf numFmtId="0" fontId="0" fillId="0" borderId="0" xfId="0" applyFont="1" applyFill="1" applyProtection="1"/>
    <xf numFmtId="0" fontId="0" fillId="0" borderId="0" xfId="0" applyFont="1" applyFill="1"/>
    <xf numFmtId="0" fontId="0" fillId="12" borderId="17" xfId="0" applyFont="1" applyFill="1" applyBorder="1" applyProtection="1"/>
    <xf numFmtId="0" fontId="0" fillId="6" borderId="0" xfId="0" applyFont="1" applyFill="1" applyProtection="1"/>
    <xf numFmtId="0" fontId="0" fillId="12" borderId="19" xfId="0" applyFont="1" applyFill="1" applyBorder="1" applyProtection="1"/>
    <xf numFmtId="0" fontId="0" fillId="12" borderId="20" xfId="0" applyFont="1" applyFill="1" applyBorder="1" applyProtection="1"/>
    <xf numFmtId="0" fontId="0" fillId="0" borderId="0" xfId="0" applyFont="1" applyAlignment="1" applyProtection="1">
      <alignment horizontal="right"/>
    </xf>
    <xf numFmtId="0" fontId="47" fillId="2" borderId="14" xfId="0" applyFont="1" applyFill="1" applyBorder="1" applyAlignment="1" applyProtection="1">
      <alignment horizontal="right"/>
    </xf>
    <xf numFmtId="0" fontId="47" fillId="2" borderId="20" xfId="0" applyFont="1" applyFill="1" applyBorder="1" applyAlignment="1" applyProtection="1">
      <alignment horizontal="left"/>
    </xf>
    <xf numFmtId="0" fontId="47" fillId="4" borderId="21" xfId="0" applyFont="1" applyFill="1" applyBorder="1" applyAlignment="1" applyProtection="1">
      <alignment horizontal="left"/>
    </xf>
    <xf numFmtId="0" fontId="47" fillId="4" borderId="14" xfId="0" applyFont="1" applyFill="1" applyBorder="1" applyAlignment="1" applyProtection="1">
      <alignment horizontal="right"/>
    </xf>
    <xf numFmtId="0" fontId="47" fillId="4" borderId="20" xfId="0" applyFont="1" applyFill="1" applyBorder="1" applyAlignment="1" applyProtection="1">
      <alignment horizontal="left"/>
    </xf>
    <xf numFmtId="1" fontId="44" fillId="8" borderId="22" xfId="1" applyNumberFormat="1" applyFont="1" applyFill="1" applyBorder="1" applyAlignment="1" applyProtection="1">
      <alignment horizontal="right"/>
      <protection locked="0"/>
    </xf>
    <xf numFmtId="1" fontId="44" fillId="4" borderId="12" xfId="1" applyNumberFormat="1" applyFont="1" applyFill="1" applyBorder="1" applyAlignment="1" applyProtection="1">
      <alignment horizontal="right"/>
      <protection locked="0"/>
    </xf>
    <xf numFmtId="165" fontId="31" fillId="8" borderId="14" xfId="1" applyNumberFormat="1" applyFont="1" applyFill="1" applyBorder="1" applyAlignment="1" applyProtection="1">
      <alignment horizontal="right"/>
      <protection locked="0"/>
    </xf>
    <xf numFmtId="165" fontId="31" fillId="8" borderId="0" xfId="1" applyNumberFormat="1" applyFont="1" applyFill="1" applyBorder="1" applyAlignment="1" applyProtection="1">
      <alignment horizontal="right"/>
      <protection locked="0"/>
    </xf>
    <xf numFmtId="43" fontId="48" fillId="4" borderId="0" xfId="1" applyNumberFormat="1" applyFont="1" applyFill="1" applyBorder="1" applyAlignment="1" applyProtection="1">
      <alignment horizontal="right"/>
    </xf>
    <xf numFmtId="0" fontId="0" fillId="4" borderId="10" xfId="0" applyFont="1" applyFill="1" applyBorder="1" applyProtection="1"/>
    <xf numFmtId="0" fontId="0" fillId="4" borderId="14" xfId="0" applyFont="1" applyFill="1" applyBorder="1" applyProtection="1"/>
    <xf numFmtId="0" fontId="0" fillId="4" borderId="17" xfId="0" applyFont="1" applyFill="1" applyBorder="1" applyAlignment="1" applyProtection="1">
      <alignment horizontal="right"/>
    </xf>
    <xf numFmtId="0" fontId="0" fillId="4" borderId="22" xfId="0" applyFont="1" applyFill="1" applyBorder="1" applyProtection="1"/>
    <xf numFmtId="1" fontId="0" fillId="4" borderId="22" xfId="0" applyNumberFormat="1" applyFont="1" applyFill="1" applyBorder="1" applyAlignment="1" applyProtection="1">
      <alignment horizontal="right"/>
    </xf>
    <xf numFmtId="0" fontId="0" fillId="4" borderId="14" xfId="0" applyFont="1" applyFill="1" applyBorder="1" applyAlignment="1" applyProtection="1">
      <alignment horizontal="right"/>
    </xf>
    <xf numFmtId="0" fontId="0" fillId="4" borderId="17" xfId="0" applyFont="1" applyFill="1" applyBorder="1" applyAlignment="1" applyProtection="1">
      <alignment horizontal="left"/>
    </xf>
    <xf numFmtId="0" fontId="0" fillId="4" borderId="20" xfId="0" applyFont="1" applyFill="1" applyBorder="1" applyAlignment="1" applyProtection="1">
      <alignment horizontal="right"/>
    </xf>
    <xf numFmtId="0" fontId="0" fillId="4" borderId="18" xfId="0" applyFont="1" applyFill="1" applyBorder="1" applyAlignment="1" applyProtection="1">
      <alignment horizontal="right"/>
    </xf>
    <xf numFmtId="0" fontId="0" fillId="4" borderId="19" xfId="0" applyFont="1" applyFill="1" applyBorder="1" applyAlignment="1" applyProtection="1">
      <alignment horizontal="right"/>
    </xf>
    <xf numFmtId="0" fontId="47" fillId="3" borderId="21" xfId="0" applyFont="1" applyFill="1" applyBorder="1" applyAlignment="1" applyProtection="1">
      <alignment horizontal="left"/>
    </xf>
    <xf numFmtId="0" fontId="0" fillId="3" borderId="9" xfId="0" applyFont="1" applyFill="1" applyBorder="1" applyAlignment="1" applyProtection="1">
      <alignment horizontal="right"/>
    </xf>
    <xf numFmtId="1" fontId="44" fillId="11" borderId="0" xfId="1" applyNumberFormat="1" applyFont="1" applyFill="1" applyBorder="1" applyAlignment="1" applyProtection="1">
      <alignment horizontal="right"/>
      <protection locked="0"/>
    </xf>
    <xf numFmtId="0" fontId="0" fillId="3" borderId="0" xfId="0" applyFont="1" applyFill="1" applyBorder="1" applyAlignment="1" applyProtection="1">
      <alignment horizontal="right"/>
    </xf>
    <xf numFmtId="0" fontId="0" fillId="3" borderId="0" xfId="0" applyFont="1" applyFill="1" applyBorder="1" applyProtection="1"/>
    <xf numFmtId="165" fontId="49" fillId="3" borderId="18" xfId="1" applyNumberFormat="1" applyFont="1" applyFill="1" applyBorder="1" applyAlignment="1" applyProtection="1"/>
    <xf numFmtId="165" fontId="44" fillId="3" borderId="14" xfId="1" applyNumberFormat="1" applyFont="1" applyFill="1" applyBorder="1" applyAlignment="1" applyProtection="1"/>
    <xf numFmtId="9" fontId="0" fillId="3" borderId="22" xfId="2" applyFont="1" applyFill="1" applyBorder="1" applyAlignment="1" applyProtection="1">
      <alignment horizontal="right"/>
    </xf>
    <xf numFmtId="0" fontId="0" fillId="3" borderId="17" xfId="0" applyFont="1" applyFill="1" applyBorder="1" applyProtection="1"/>
    <xf numFmtId="2" fontId="0" fillId="3" borderId="18" xfId="0" applyNumberFormat="1" applyFont="1" applyFill="1" applyBorder="1" applyProtection="1"/>
    <xf numFmtId="0" fontId="0" fillId="3" borderId="10" xfId="0" applyFont="1" applyFill="1" applyBorder="1" applyAlignment="1" applyProtection="1">
      <alignment horizontal="right"/>
    </xf>
    <xf numFmtId="0" fontId="0" fillId="3" borderId="19" xfId="0" applyFont="1" applyFill="1" applyBorder="1" applyProtection="1"/>
    <xf numFmtId="0" fontId="0" fillId="0" borderId="0" xfId="0" applyFont="1" applyAlignment="1" applyProtection="1">
      <alignment horizontal="left"/>
    </xf>
    <xf numFmtId="0" fontId="0" fillId="0" borderId="0" xfId="0" applyFont="1" applyFill="1" applyAlignment="1" applyProtection="1">
      <alignment horizontal="right"/>
    </xf>
    <xf numFmtId="0" fontId="17" fillId="12" borderId="11" xfId="0" applyFont="1" applyFill="1" applyBorder="1" applyProtection="1"/>
    <xf numFmtId="0" fontId="17" fillId="12" borderId="21" xfId="0" applyFont="1" applyFill="1" applyBorder="1" applyAlignment="1" applyProtection="1">
      <alignment horizontal="right"/>
    </xf>
    <xf numFmtId="0" fontId="17" fillId="0" borderId="0" xfId="0" applyFont="1" applyFill="1" applyAlignment="1" applyProtection="1">
      <alignment horizontal="right"/>
    </xf>
    <xf numFmtId="0" fontId="42" fillId="0" borderId="0" xfId="0" applyFont="1" applyFill="1" applyProtection="1"/>
    <xf numFmtId="0" fontId="42" fillId="0" borderId="0" xfId="0" applyFont="1" applyFill="1" applyBorder="1" applyAlignment="1" applyProtection="1">
      <alignment horizontal="right"/>
    </xf>
    <xf numFmtId="2" fontId="42" fillId="0" borderId="0" xfId="0" applyNumberFormat="1" applyFont="1" applyFill="1" applyBorder="1" applyProtection="1"/>
    <xf numFmtId="0" fontId="17" fillId="6" borderId="0" xfId="0" applyFont="1" applyFill="1" applyProtection="1"/>
    <xf numFmtId="0" fontId="17" fillId="3" borderId="10" xfId="0" applyFont="1" applyFill="1" applyBorder="1" applyAlignment="1" applyProtection="1">
      <alignment horizontal="right"/>
    </xf>
    <xf numFmtId="2" fontId="17" fillId="3" borderId="19" xfId="0" applyNumberFormat="1" applyFont="1" applyFill="1" applyBorder="1" applyProtection="1"/>
    <xf numFmtId="0" fontId="17" fillId="0" borderId="0" xfId="0" applyFont="1" applyFill="1" applyProtection="1"/>
    <xf numFmtId="2" fontId="17" fillId="4" borderId="20" xfId="2" applyNumberFormat="1" applyFont="1" applyFill="1" applyBorder="1" applyAlignment="1" applyProtection="1">
      <alignment horizontal="right"/>
    </xf>
    <xf numFmtId="2" fontId="17" fillId="4" borderId="19" xfId="2" applyNumberFormat="1" applyFont="1" applyFill="1" applyBorder="1" applyAlignment="1" applyProtection="1">
      <alignment horizontal="right"/>
    </xf>
    <xf numFmtId="0" fontId="17" fillId="3" borderId="11" xfId="0" applyFont="1" applyFill="1" applyBorder="1" applyAlignment="1" applyProtection="1">
      <alignment horizontal="left"/>
    </xf>
    <xf numFmtId="0" fontId="17" fillId="3" borderId="17" xfId="0" applyFont="1" applyFill="1" applyBorder="1" applyProtection="1"/>
    <xf numFmtId="1" fontId="44" fillId="11" borderId="0" xfId="1" applyNumberFormat="1" applyFont="1" applyFill="1" applyBorder="1" applyAlignment="1" applyProtection="1">
      <protection locked="0"/>
    </xf>
    <xf numFmtId="0" fontId="0" fillId="27" borderId="0" xfId="0" applyFont="1" applyFill="1" applyProtection="1"/>
    <xf numFmtId="1" fontId="44" fillId="11" borderId="22" xfId="1" applyNumberFormat="1" applyFont="1" applyFill="1" applyBorder="1" applyAlignment="1" applyProtection="1">
      <alignment horizontal="right"/>
      <protection locked="0"/>
    </xf>
    <xf numFmtId="9" fontId="17" fillId="3" borderId="9" xfId="2" applyFont="1" applyFill="1" applyBorder="1" applyAlignment="1" applyProtection="1">
      <alignment horizontal="right" wrapText="1"/>
    </xf>
    <xf numFmtId="0" fontId="51" fillId="27" borderId="0" xfId="0" applyFont="1" applyFill="1" applyProtection="1"/>
    <xf numFmtId="0" fontId="0" fillId="10" borderId="7" xfId="0" applyFill="1" applyBorder="1" applyAlignment="1">
      <alignment horizontal="center"/>
    </xf>
    <xf numFmtId="0" fontId="25" fillId="0" borderId="0" xfId="0" applyFont="1"/>
    <xf numFmtId="0" fontId="25" fillId="0" borderId="0" xfId="0" applyFont="1" applyAlignment="1">
      <alignment wrapText="1"/>
    </xf>
    <xf numFmtId="164" fontId="9" fillId="15" borderId="14" xfId="1" applyNumberFormat="1" applyFont="1" applyFill="1" applyBorder="1"/>
    <xf numFmtId="164" fontId="9" fillId="15" borderId="0" xfId="1" applyNumberFormat="1" applyFont="1" applyFill="1" applyBorder="1"/>
    <xf numFmtId="164" fontId="9" fillId="15" borderId="22" xfId="1" applyNumberFormat="1" applyFont="1" applyFill="1" applyBorder="1"/>
    <xf numFmtId="164" fontId="0" fillId="14" borderId="9" xfId="1" applyNumberFormat="1" applyFont="1" applyFill="1" applyBorder="1"/>
    <xf numFmtId="0" fontId="18" fillId="22" borderId="11" xfId="0" applyFont="1" applyFill="1" applyBorder="1" applyAlignment="1">
      <alignment horizontal="center" wrapText="1"/>
    </xf>
    <xf numFmtId="0" fontId="18" fillId="22" borderId="12" xfId="0" applyFont="1" applyFill="1" applyBorder="1" applyAlignment="1">
      <alignment horizontal="center" wrapText="1"/>
    </xf>
    <xf numFmtId="0" fontId="18" fillId="22" borderId="17" xfId="0" applyFont="1" applyFill="1" applyBorder="1" applyAlignment="1">
      <alignment horizontal="center" wrapText="1"/>
    </xf>
    <xf numFmtId="0" fontId="2" fillId="10" borderId="17" xfId="0" applyFont="1" applyFill="1" applyBorder="1" applyAlignment="1">
      <alignment horizontal="center" wrapText="1"/>
    </xf>
    <xf numFmtId="164" fontId="10" fillId="10" borderId="18" xfId="1" applyNumberFormat="1" applyFont="1" applyFill="1" applyBorder="1"/>
    <xf numFmtId="164" fontId="17" fillId="22" borderId="9" xfId="1" applyNumberFormat="1" applyFont="1" applyFill="1" applyBorder="1" applyAlignment="1" applyProtection="1">
      <alignment horizontal="right"/>
    </xf>
    <xf numFmtId="43" fontId="17" fillId="22" borderId="0" xfId="1" applyFont="1" applyFill="1" applyBorder="1" applyAlignment="1" applyProtection="1">
      <alignment horizontal="right"/>
    </xf>
    <xf numFmtId="164" fontId="17" fillId="22" borderId="18" xfId="1" applyNumberFormat="1" applyFont="1" applyFill="1" applyBorder="1" applyAlignment="1" applyProtection="1"/>
    <xf numFmtId="43" fontId="4" fillId="20" borderId="7" xfId="1" applyFont="1" applyFill="1" applyBorder="1"/>
    <xf numFmtId="168" fontId="4" fillId="10" borderId="30" xfId="0" applyNumberFormat="1" applyFont="1" applyFill="1" applyBorder="1"/>
    <xf numFmtId="0" fontId="4" fillId="10" borderId="30" xfId="0" applyFont="1" applyFill="1" applyBorder="1"/>
    <xf numFmtId="43" fontId="4" fillId="10" borderId="29" xfId="0" applyNumberFormat="1" applyFont="1" applyFill="1" applyBorder="1"/>
    <xf numFmtId="43" fontId="4" fillId="20" borderId="27" xfId="1" applyFont="1" applyFill="1" applyBorder="1"/>
    <xf numFmtId="167" fontId="0" fillId="15" borderId="0" xfId="1" applyNumberFormat="1" applyFont="1" applyFill="1" applyBorder="1"/>
    <xf numFmtId="170" fontId="37" fillId="21" borderId="22" xfId="0" applyNumberFormat="1" applyFont="1" applyFill="1" applyBorder="1"/>
    <xf numFmtId="170" fontId="19" fillId="16" borderId="0" xfId="1" applyNumberFormat="1" applyFont="1" applyFill="1" applyBorder="1"/>
    <xf numFmtId="170" fontId="20" fillId="16" borderId="0" xfId="0" applyNumberFormat="1" applyFont="1" applyFill="1" applyBorder="1"/>
    <xf numFmtId="167" fontId="0" fillId="10" borderId="14" xfId="1" applyNumberFormat="1" applyFont="1" applyFill="1" applyBorder="1"/>
    <xf numFmtId="167" fontId="0" fillId="10" borderId="0" xfId="1" applyNumberFormat="1" applyFont="1" applyFill="1" applyBorder="1"/>
    <xf numFmtId="167" fontId="37" fillId="18" borderId="22" xfId="1" applyNumberFormat="1" applyFont="1" applyFill="1" applyBorder="1"/>
    <xf numFmtId="0" fontId="12" fillId="0" borderId="0" xfId="0" applyFont="1"/>
    <xf numFmtId="0" fontId="12" fillId="6" borderId="0" xfId="0" applyFont="1" applyFill="1"/>
    <xf numFmtId="0" fontId="10" fillId="0" borderId="0" xfId="0" applyFont="1" applyFill="1"/>
    <xf numFmtId="0" fontId="0" fillId="6" borderId="0" xfId="0" applyFont="1" applyFill="1"/>
    <xf numFmtId="0" fontId="53" fillId="6" borderId="0" xfId="0" applyFont="1" applyFill="1"/>
    <xf numFmtId="0" fontId="10" fillId="16" borderId="9" xfId="0" applyFont="1" applyFill="1" applyBorder="1"/>
    <xf numFmtId="165" fontId="45" fillId="3" borderId="19" xfId="1" applyNumberFormat="1" applyFont="1" applyFill="1" applyBorder="1" applyAlignment="1" applyProtection="1"/>
    <xf numFmtId="49" fontId="44" fillId="11" borderId="0" xfId="1" applyNumberFormat="1" applyFont="1" applyFill="1" applyBorder="1" applyAlignment="1" applyProtection="1">
      <alignment horizontal="right"/>
      <protection locked="0"/>
    </xf>
    <xf numFmtId="1" fontId="44" fillId="8" borderId="0" xfId="1" applyNumberFormat="1" applyFont="1" applyFill="1" applyBorder="1" applyAlignment="1" applyProtection="1">
      <alignment horizontal="right"/>
      <protection locked="0"/>
    </xf>
    <xf numFmtId="165" fontId="44" fillId="8" borderId="0" xfId="1" applyNumberFormat="1" applyFont="1" applyFill="1" applyBorder="1" applyAlignment="1" applyProtection="1">
      <alignment horizontal="right"/>
      <protection locked="0"/>
    </xf>
    <xf numFmtId="0" fontId="0" fillId="0" borderId="18" xfId="0" applyBorder="1"/>
    <xf numFmtId="0" fontId="0" fillId="0" borderId="16" xfId="0" applyBorder="1"/>
    <xf numFmtId="0" fontId="17" fillId="12" borderId="11" xfId="0" applyFont="1" applyFill="1" applyBorder="1" applyAlignment="1" applyProtection="1">
      <alignment horizontal="left" wrapText="1"/>
    </xf>
    <xf numFmtId="0" fontId="25" fillId="0" borderId="0" xfId="0" applyFont="1" applyBorder="1"/>
    <xf numFmtId="9" fontId="26" fillId="3" borderId="10" xfId="2" applyFont="1" applyFill="1" applyBorder="1" applyAlignment="1" applyProtection="1">
      <alignment horizontal="left" wrapText="1"/>
    </xf>
    <xf numFmtId="168" fontId="0" fillId="0" borderId="0" xfId="1" applyNumberFormat="1" applyFont="1"/>
    <xf numFmtId="0" fontId="0" fillId="0" borderId="22" xfId="0" applyFill="1" applyBorder="1"/>
    <xf numFmtId="164" fontId="0" fillId="0" borderId="19" xfId="1" applyNumberFormat="1" applyFont="1" applyFill="1" applyBorder="1"/>
    <xf numFmtId="0" fontId="0" fillId="7" borderId="20" xfId="0" applyFill="1" applyBorder="1"/>
    <xf numFmtId="164" fontId="0" fillId="25" borderId="18" xfId="1" applyNumberFormat="1" applyFont="1" applyFill="1" applyBorder="1"/>
    <xf numFmtId="164" fontId="0" fillId="0" borderId="18" xfId="1" applyNumberFormat="1" applyFont="1" applyBorder="1"/>
    <xf numFmtId="0" fontId="0" fillId="0" borderId="0" xfId="0" applyAlignment="1">
      <alignment horizontal="left" wrapText="1"/>
    </xf>
    <xf numFmtId="0" fontId="0" fillId="0" borderId="0" xfId="0" applyFont="1" applyProtection="1"/>
    <xf numFmtId="0" fontId="0" fillId="0" borderId="0" xfId="0" applyFont="1" applyFill="1" applyBorder="1"/>
    <xf numFmtId="0" fontId="17" fillId="12" borderId="18" xfId="0" applyFont="1" applyFill="1" applyBorder="1" applyProtection="1"/>
    <xf numFmtId="0" fontId="17" fillId="12" borderId="19" xfId="0" applyFont="1" applyFill="1" applyBorder="1" applyProtection="1"/>
    <xf numFmtId="0" fontId="17" fillId="12" borderId="10" xfId="0" applyFont="1" applyFill="1" applyBorder="1" applyAlignment="1" applyProtection="1">
      <alignment horizontal="right"/>
    </xf>
    <xf numFmtId="0" fontId="17" fillId="12" borderId="9" xfId="0" applyFont="1" applyFill="1" applyBorder="1" applyAlignment="1" applyProtection="1">
      <alignment horizontal="right"/>
    </xf>
    <xf numFmtId="9" fontId="17" fillId="9" borderId="9" xfId="2" applyFont="1" applyFill="1" applyBorder="1" applyAlignment="1">
      <alignment horizontal="right"/>
    </xf>
    <xf numFmtId="9" fontId="17" fillId="9" borderId="9" xfId="2" applyFont="1" applyFill="1" applyBorder="1" applyAlignment="1" applyProtection="1">
      <alignment horizontal="right" wrapText="1"/>
    </xf>
    <xf numFmtId="9" fontId="20" fillId="9" borderId="21" xfId="2" applyFont="1" applyFill="1" applyBorder="1" applyAlignment="1" applyProtection="1">
      <alignment horizontal="left" wrapText="1"/>
    </xf>
    <xf numFmtId="0" fontId="17" fillId="12" borderId="11" xfId="0" applyFont="1" applyFill="1" applyBorder="1" applyAlignment="1" applyProtection="1">
      <alignment horizontal="left"/>
    </xf>
    <xf numFmtId="168" fontId="0" fillId="0" borderId="0" xfId="0" applyNumberFormat="1" applyBorder="1"/>
    <xf numFmtId="0" fontId="10" fillId="14" borderId="14" xfId="0" applyFont="1" applyFill="1" applyBorder="1" applyAlignment="1">
      <alignment horizontal="center"/>
    </xf>
    <xf numFmtId="164" fontId="0" fillId="0" borderId="11" xfId="0" applyNumberFormat="1" applyBorder="1"/>
    <xf numFmtId="0" fontId="0" fillId="0" borderId="12" xfId="0" applyBorder="1"/>
    <xf numFmtId="164" fontId="0" fillId="0" borderId="12" xfId="0" applyNumberFormat="1" applyBorder="1"/>
    <xf numFmtId="0" fontId="10" fillId="0" borderId="22" xfId="0" applyFont="1" applyBorder="1" applyAlignment="1">
      <alignment horizontal="center"/>
    </xf>
    <xf numFmtId="0" fontId="0" fillId="14" borderId="22" xfId="0" applyFill="1" applyBorder="1" applyAlignment="1">
      <alignment horizontal="center"/>
    </xf>
    <xf numFmtId="0" fontId="0" fillId="4" borderId="22" xfId="0" applyFill="1" applyBorder="1" applyAlignment="1">
      <alignment horizontal="center"/>
    </xf>
    <xf numFmtId="0" fontId="0" fillId="7" borderId="22" xfId="0" applyFill="1" applyBorder="1" applyAlignment="1">
      <alignment horizontal="center"/>
    </xf>
    <xf numFmtId="0" fontId="0" fillId="7" borderId="19" xfId="0" applyFill="1" applyBorder="1" applyAlignment="1">
      <alignment horizontal="center"/>
    </xf>
    <xf numFmtId="0" fontId="0" fillId="0" borderId="0" xfId="0"/>
    <xf numFmtId="169" fontId="0" fillId="0" borderId="0" xfId="0" applyNumberFormat="1" applyFill="1" applyBorder="1"/>
    <xf numFmtId="169" fontId="0" fillId="3" borderId="21" xfId="0" applyNumberFormat="1" applyFill="1" applyBorder="1"/>
    <xf numFmtId="169" fontId="0" fillId="3" borderId="20" xfId="0" applyNumberFormat="1" applyFill="1" applyBorder="1"/>
    <xf numFmtId="169" fontId="0" fillId="0" borderId="9" xfId="0" applyNumberFormat="1" applyBorder="1"/>
    <xf numFmtId="169" fontId="0" fillId="0" borderId="18" xfId="0" applyNumberFormat="1" applyBorder="1"/>
    <xf numFmtId="169" fontId="0" fillId="3" borderId="10" xfId="0" applyNumberFormat="1" applyFill="1" applyBorder="1"/>
    <xf numFmtId="169" fontId="0" fillId="3" borderId="19" xfId="0" applyNumberFormat="1" applyFill="1" applyBorder="1"/>
    <xf numFmtId="0" fontId="0" fillId="3" borderId="23" xfId="0" applyFill="1" applyBorder="1"/>
    <xf numFmtId="0" fontId="0" fillId="3" borderId="24" xfId="0" applyFill="1" applyBorder="1"/>
    <xf numFmtId="0" fontId="69" fillId="0" borderId="0" xfId="0" applyFont="1" applyAlignment="1">
      <alignment wrapText="1"/>
    </xf>
    <xf numFmtId="0" fontId="4" fillId="15" borderId="10" xfId="0" applyFont="1" applyFill="1" applyBorder="1"/>
    <xf numFmtId="0" fontId="4" fillId="15" borderId="22" xfId="0" applyFont="1" applyFill="1" applyBorder="1"/>
    <xf numFmtId="43" fontId="4" fillId="14" borderId="27" xfId="1" applyNumberFormat="1" applyFont="1" applyFill="1" applyBorder="1"/>
    <xf numFmtId="43" fontId="4" fillId="15" borderId="22" xfId="0" applyNumberFormat="1" applyFont="1" applyFill="1" applyBorder="1"/>
    <xf numFmtId="164" fontId="17" fillId="22" borderId="10" xfId="1" applyNumberFormat="1" applyFont="1" applyFill="1" applyBorder="1" applyAlignment="1" applyProtection="1">
      <alignment horizontal="right"/>
    </xf>
    <xf numFmtId="43" fontId="17" fillId="22" borderId="22" xfId="1" applyFont="1" applyFill="1" applyBorder="1" applyAlignment="1" applyProtection="1">
      <alignment horizontal="right"/>
    </xf>
    <xf numFmtId="164" fontId="17" fillId="22" borderId="19" xfId="1" applyNumberFormat="1" applyFont="1" applyFill="1" applyBorder="1" applyAlignment="1" applyProtection="1"/>
    <xf numFmtId="0" fontId="10" fillId="7" borderId="17" xfId="0" applyFont="1" applyFill="1" applyBorder="1" applyAlignment="1">
      <alignment horizontal="center" wrapText="1"/>
    </xf>
    <xf numFmtId="0" fontId="0" fillId="11" borderId="11" xfId="0" applyFill="1" applyBorder="1"/>
    <xf numFmtId="0" fontId="0" fillId="11" borderId="12" xfId="0" applyFill="1" applyBorder="1"/>
    <xf numFmtId="0" fontId="0" fillId="11" borderId="17" xfId="0" applyFill="1" applyBorder="1"/>
    <xf numFmtId="0" fontId="0" fillId="4" borderId="9" xfId="0" applyFont="1" applyFill="1" applyBorder="1" applyAlignment="1" applyProtection="1">
      <alignment horizontal="left"/>
    </xf>
    <xf numFmtId="0" fontId="0" fillId="4" borderId="21" xfId="0" applyFont="1" applyFill="1" applyBorder="1" applyAlignment="1" applyProtection="1">
      <alignment horizontal="left"/>
    </xf>
    <xf numFmtId="0" fontId="51" fillId="27" borderId="0" xfId="0" applyFont="1" applyFill="1" applyBorder="1" applyProtection="1"/>
    <xf numFmtId="0" fontId="20" fillId="27" borderId="0" xfId="0" applyFont="1" applyFill="1" applyBorder="1" applyProtection="1"/>
    <xf numFmtId="0" fontId="20" fillId="4" borderId="0" xfId="0" applyFont="1" applyFill="1" applyBorder="1" applyProtection="1"/>
    <xf numFmtId="0" fontId="15" fillId="4" borderId="0" xfId="0" applyFont="1" applyFill="1" applyBorder="1" applyProtection="1"/>
    <xf numFmtId="0" fontId="15" fillId="4" borderId="22" xfId="0" applyFont="1" applyFill="1" applyBorder="1" applyProtection="1"/>
    <xf numFmtId="0" fontId="20" fillId="4" borderId="22" xfId="0" applyFont="1" applyFill="1" applyBorder="1" applyProtection="1"/>
    <xf numFmtId="1" fontId="21" fillId="4" borderId="17" xfId="0" applyNumberFormat="1" applyFont="1" applyFill="1" applyBorder="1" applyAlignment="1" applyProtection="1">
      <alignment horizontal="center" wrapText="1"/>
    </xf>
    <xf numFmtId="0" fontId="15" fillId="4" borderId="11" xfId="0" applyFont="1" applyFill="1" applyBorder="1" applyProtection="1"/>
    <xf numFmtId="0" fontId="15" fillId="4" borderId="17" xfId="0" applyFont="1" applyFill="1" applyBorder="1" applyProtection="1"/>
    <xf numFmtId="9" fontId="45" fillId="3" borderId="22" xfId="2" applyFont="1" applyFill="1" applyBorder="1" applyAlignment="1" applyProtection="1">
      <alignment horizontal="center"/>
    </xf>
    <xf numFmtId="0" fontId="17" fillId="4" borderId="9" xfId="0" applyFont="1" applyFill="1" applyBorder="1" applyAlignment="1" applyProtection="1">
      <alignment horizontal="right"/>
    </xf>
    <xf numFmtId="0" fontId="17" fillId="3" borderId="21" xfId="0" applyFont="1" applyFill="1" applyBorder="1" applyAlignment="1" applyProtection="1">
      <alignment horizontal="right"/>
    </xf>
    <xf numFmtId="9" fontId="17" fillId="9" borderId="10" xfId="2" applyFont="1" applyFill="1" applyBorder="1" applyAlignment="1">
      <alignment horizontal="right"/>
    </xf>
    <xf numFmtId="0" fontId="26" fillId="9" borderId="10" xfId="0" applyFont="1" applyFill="1" applyBorder="1" applyProtection="1"/>
    <xf numFmtId="9" fontId="0" fillId="3" borderId="10" xfId="2" applyFont="1" applyFill="1" applyBorder="1" applyAlignment="1" applyProtection="1">
      <alignment horizontal="right" wrapText="1"/>
    </xf>
    <xf numFmtId="49" fontId="44" fillId="11" borderId="22" xfId="1" applyNumberFormat="1" applyFont="1" applyFill="1" applyBorder="1" applyAlignment="1" applyProtection="1">
      <alignment horizontal="right"/>
      <protection locked="0"/>
    </xf>
    <xf numFmtId="9" fontId="71" fillId="3" borderId="0" xfId="2" applyFont="1" applyFill="1" applyBorder="1" applyAlignment="1" applyProtection="1">
      <alignment horizontal="left"/>
    </xf>
    <xf numFmtId="165" fontId="72" fillId="3" borderId="18" xfId="1" applyNumberFormat="1" applyFont="1" applyFill="1" applyBorder="1" applyAlignment="1" applyProtection="1"/>
    <xf numFmtId="9" fontId="71" fillId="3" borderId="0" xfId="2" applyFont="1" applyFill="1" applyBorder="1" applyAlignment="1" applyProtection="1">
      <alignment horizontal="center"/>
    </xf>
    <xf numFmtId="9" fontId="71" fillId="3" borderId="22" xfId="2" applyFont="1" applyFill="1" applyBorder="1" applyAlignment="1" applyProtection="1">
      <alignment horizontal="center"/>
    </xf>
    <xf numFmtId="165" fontId="72" fillId="3" borderId="19" xfId="1" applyNumberFormat="1" applyFont="1" applyFill="1" applyBorder="1" applyAlignment="1" applyProtection="1"/>
    <xf numFmtId="0" fontId="71" fillId="3" borderId="18" xfId="0" applyFont="1" applyFill="1" applyBorder="1" applyAlignment="1" applyProtection="1">
      <alignment horizontal="center"/>
    </xf>
    <xf numFmtId="2" fontId="20" fillId="9" borderId="22" xfId="0" applyNumberFormat="1" applyFont="1" applyFill="1" applyBorder="1" applyProtection="1"/>
    <xf numFmtId="1" fontId="71" fillId="9" borderId="18" xfId="0" applyNumberFormat="1" applyFont="1" applyFill="1" applyBorder="1" applyAlignment="1" applyProtection="1">
      <alignment horizontal="center"/>
    </xf>
    <xf numFmtId="1" fontId="71" fillId="9" borderId="20" xfId="0" applyNumberFormat="1" applyFont="1" applyFill="1" applyBorder="1" applyAlignment="1" applyProtection="1">
      <alignment horizontal="center"/>
    </xf>
    <xf numFmtId="9" fontId="73" fillId="9" borderId="18" xfId="2" applyFont="1" applyFill="1" applyBorder="1" applyAlignment="1" applyProtection="1">
      <alignment horizontal="center"/>
    </xf>
    <xf numFmtId="9" fontId="74" fillId="9" borderId="18" xfId="2" applyFont="1" applyFill="1" applyBorder="1" applyAlignment="1" applyProtection="1">
      <alignment horizontal="center"/>
    </xf>
    <xf numFmtId="9" fontId="73" fillId="9" borderId="19" xfId="2" applyFont="1" applyFill="1" applyBorder="1" applyAlignment="1" applyProtection="1">
      <alignment horizontal="center"/>
    </xf>
    <xf numFmtId="1" fontId="71" fillId="9" borderId="0" xfId="2" applyNumberFormat="1" applyFont="1" applyFill="1" applyBorder="1" applyAlignment="1" applyProtection="1">
      <alignment horizontal="right"/>
    </xf>
    <xf numFmtId="2" fontId="71" fillId="9" borderId="14" xfId="1" applyNumberFormat="1" applyFont="1" applyFill="1" applyBorder="1" applyAlignment="1" applyProtection="1">
      <alignment horizontal="right"/>
    </xf>
    <xf numFmtId="1" fontId="71" fillId="9" borderId="0" xfId="2" applyNumberFormat="1" applyFont="1" applyFill="1" applyBorder="1" applyAlignment="1">
      <alignment horizontal="right"/>
    </xf>
    <xf numFmtId="1" fontId="71" fillId="9" borderId="22" xfId="2" applyNumberFormat="1" applyFont="1" applyFill="1" applyBorder="1" applyAlignment="1">
      <alignment horizontal="right"/>
    </xf>
    <xf numFmtId="9" fontId="75" fillId="3" borderId="0" xfId="0" applyNumberFormat="1" applyFont="1" applyFill="1" applyBorder="1" applyAlignment="1" applyProtection="1">
      <alignment horizontal="left"/>
    </xf>
    <xf numFmtId="9" fontId="75" fillId="3" borderId="22" xfId="0" applyNumberFormat="1" applyFont="1" applyFill="1" applyBorder="1" applyAlignment="1" applyProtection="1">
      <alignment horizontal="left"/>
    </xf>
    <xf numFmtId="165" fontId="72" fillId="3" borderId="19" xfId="1" applyNumberFormat="1" applyFont="1" applyFill="1" applyBorder="1" applyAlignment="1" applyProtection="1">
      <alignment horizontal="left"/>
    </xf>
    <xf numFmtId="170" fontId="25" fillId="9" borderId="0" xfId="2" applyNumberFormat="1" applyFont="1" applyFill="1" applyBorder="1" applyAlignment="1" applyProtection="1">
      <alignment horizontal="right" wrapText="1"/>
    </xf>
    <xf numFmtId="9" fontId="75" fillId="9" borderId="20" xfId="2" applyFont="1" applyFill="1" applyBorder="1" applyAlignment="1" applyProtection="1">
      <alignment horizontal="right"/>
    </xf>
    <xf numFmtId="1" fontId="76" fillId="9" borderId="0" xfId="2" applyNumberFormat="1" applyFont="1" applyFill="1" applyBorder="1" applyAlignment="1" applyProtection="1">
      <alignment horizontal="right"/>
    </xf>
    <xf numFmtId="2" fontId="75" fillId="3" borderId="0" xfId="0" applyNumberFormat="1" applyFont="1" applyFill="1" applyBorder="1" applyAlignment="1" applyProtection="1">
      <alignment horizontal="right"/>
    </xf>
    <xf numFmtId="1" fontId="75" fillId="3" borderId="0" xfId="2" applyNumberFormat="1" applyFont="1" applyFill="1" applyBorder="1" applyAlignment="1" applyProtection="1">
      <alignment horizontal="right"/>
    </xf>
    <xf numFmtId="2" fontId="75" fillId="3" borderId="14" xfId="1" applyNumberFormat="1" applyFont="1" applyFill="1" applyBorder="1" applyAlignment="1" applyProtection="1">
      <alignment horizontal="right"/>
    </xf>
    <xf numFmtId="2" fontId="75" fillId="3" borderId="0" xfId="1" applyNumberFormat="1" applyFont="1" applyFill="1" applyBorder="1" applyAlignment="1" applyProtection="1">
      <alignment horizontal="right"/>
    </xf>
    <xf numFmtId="2" fontId="75" fillId="3" borderId="0" xfId="2" applyNumberFormat="1" applyFont="1" applyFill="1" applyBorder="1" applyAlignment="1" applyProtection="1">
      <alignment horizontal="right"/>
    </xf>
    <xf numFmtId="2" fontId="75" fillId="3" borderId="22" xfId="2" applyNumberFormat="1" applyFont="1" applyFill="1" applyBorder="1" applyAlignment="1" applyProtection="1">
      <alignment horizontal="right"/>
    </xf>
    <xf numFmtId="0" fontId="71" fillId="9" borderId="0" xfId="0" applyFont="1" applyFill="1" applyBorder="1" applyProtection="1"/>
    <xf numFmtId="0" fontId="80" fillId="0" borderId="0" xfId="0" applyFont="1"/>
    <xf numFmtId="0" fontId="81" fillId="0" borderId="0" xfId="0" applyFont="1"/>
    <xf numFmtId="0" fontId="83" fillId="0" borderId="0" xfId="0" applyFont="1"/>
    <xf numFmtId="0" fontId="81" fillId="0" borderId="15" xfId="0" applyFont="1" applyBorder="1"/>
    <xf numFmtId="0" fontId="81" fillId="0" borderId="15" xfId="0" applyFont="1" applyBorder="1" applyAlignment="1">
      <alignment horizontal="center"/>
    </xf>
    <xf numFmtId="0" fontId="80" fillId="0" borderId="15" xfId="0" applyFont="1" applyBorder="1" applyAlignment="1">
      <alignment horizontal="center"/>
    </xf>
    <xf numFmtId="0" fontId="81" fillId="0" borderId="0" xfId="0" applyFont="1" applyBorder="1"/>
    <xf numFmtId="0" fontId="5" fillId="0" borderId="0" xfId="0" applyFont="1" applyBorder="1"/>
    <xf numFmtId="0" fontId="10" fillId="0" borderId="0" xfId="0" applyFont="1" applyAlignment="1">
      <alignment horizontal="center"/>
    </xf>
    <xf numFmtId="164" fontId="9" fillId="0" borderId="0" xfId="1" applyNumberFormat="1" applyFont="1" applyFill="1"/>
    <xf numFmtId="164" fontId="0" fillId="0" borderId="0" xfId="0" applyNumberFormat="1" applyFill="1"/>
    <xf numFmtId="0" fontId="0" fillId="3" borderId="9" xfId="0" applyFont="1" applyFill="1" applyBorder="1" applyAlignment="1" applyProtection="1">
      <alignment horizontal="left"/>
    </xf>
    <xf numFmtId="0" fontId="17" fillId="3" borderId="9" xfId="0" applyFont="1" applyFill="1" applyBorder="1" applyAlignment="1" applyProtection="1">
      <alignment horizontal="left"/>
    </xf>
    <xf numFmtId="49" fontId="15" fillId="4" borderId="22" xfId="0" applyNumberFormat="1" applyFont="1" applyFill="1" applyBorder="1" applyProtection="1"/>
    <xf numFmtId="49" fontId="15" fillId="4" borderId="0" xfId="0" applyNumberFormat="1" applyFont="1" applyFill="1" applyBorder="1" applyProtection="1"/>
    <xf numFmtId="0" fontId="23" fillId="4" borderId="19" xfId="0" applyFont="1" applyFill="1" applyBorder="1" applyProtection="1"/>
    <xf numFmtId="0" fontId="17" fillId="4" borderId="9" xfId="0" applyFont="1" applyFill="1" applyBorder="1" applyAlignment="1" applyProtection="1">
      <alignment horizontal="left"/>
    </xf>
    <xf numFmtId="2" fontId="17" fillId="12" borderId="18" xfId="0" applyNumberFormat="1" applyFont="1" applyFill="1" applyBorder="1" applyProtection="1"/>
    <xf numFmtId="2" fontId="0" fillId="12" borderId="18" xfId="0" applyNumberFormat="1" applyFont="1" applyFill="1" applyBorder="1" applyAlignment="1" applyProtection="1"/>
    <xf numFmtId="2" fontId="76" fillId="9" borderId="14" xfId="2" applyNumberFormat="1" applyFont="1" applyFill="1" applyBorder="1" applyAlignment="1" applyProtection="1">
      <alignment horizontal="right"/>
    </xf>
    <xf numFmtId="1" fontId="75" fillId="9" borderId="18" xfId="0" applyNumberFormat="1" applyFont="1" applyFill="1" applyBorder="1" applyAlignment="1" applyProtection="1">
      <alignment horizontal="left"/>
    </xf>
    <xf numFmtId="2" fontId="0" fillId="12" borderId="18" xfId="0" applyNumberFormat="1" applyFont="1" applyFill="1" applyBorder="1" applyAlignment="1" applyProtection="1">
      <alignment horizontal="right"/>
    </xf>
    <xf numFmtId="2" fontId="0" fillId="12" borderId="17" xfId="0" applyNumberFormat="1" applyFont="1" applyFill="1" applyBorder="1" applyProtection="1"/>
    <xf numFmtId="9" fontId="17" fillId="9" borderId="9" xfId="2" applyFont="1" applyFill="1" applyBorder="1" applyAlignment="1">
      <alignment horizontal="right" wrapText="1"/>
    </xf>
    <xf numFmtId="0" fontId="0" fillId="0" borderId="0" xfId="0" applyFont="1"/>
    <xf numFmtId="9" fontId="15" fillId="9" borderId="9" xfId="2" applyFont="1" applyFill="1" applyBorder="1" applyAlignment="1">
      <alignment horizontal="right"/>
    </xf>
    <xf numFmtId="2" fontId="75" fillId="9" borderId="0" xfId="2" applyNumberFormat="1" applyFont="1" applyFill="1" applyBorder="1" applyAlignment="1" applyProtection="1">
      <alignment horizontal="right"/>
    </xf>
    <xf numFmtId="0" fontId="15" fillId="9" borderId="9" xfId="0" applyFont="1" applyFill="1" applyBorder="1" applyAlignment="1" applyProtection="1">
      <alignment horizontal="right"/>
    </xf>
    <xf numFmtId="0" fontId="0" fillId="12" borderId="11" xfId="0" applyFont="1" applyFill="1" applyBorder="1" applyAlignment="1" applyProtection="1">
      <alignment horizontal="left"/>
    </xf>
    <xf numFmtId="0" fontId="0" fillId="12" borderId="9" xfId="0" applyFont="1" applyFill="1" applyBorder="1" applyAlignment="1" applyProtection="1">
      <alignment horizontal="right"/>
    </xf>
    <xf numFmtId="2" fontId="0" fillId="12" borderId="18" xfId="0" applyNumberFormat="1" applyFont="1" applyFill="1" applyBorder="1" applyProtection="1"/>
    <xf numFmtId="0" fontId="0" fillId="12" borderId="10" xfId="0" applyFont="1" applyFill="1" applyBorder="1" applyAlignment="1" applyProtection="1">
      <alignment horizontal="right"/>
    </xf>
    <xf numFmtId="2" fontId="0" fillId="12" borderId="19" xfId="0" applyNumberFormat="1" applyFont="1" applyFill="1" applyBorder="1" applyProtection="1"/>
    <xf numFmtId="0" fontId="17" fillId="12" borderId="17" xfId="0" applyFont="1" applyFill="1" applyBorder="1" applyAlignment="1" applyProtection="1">
      <alignment wrapText="1"/>
    </xf>
    <xf numFmtId="0" fontId="0" fillId="59" borderId="0" xfId="0" applyFont="1" applyFill="1" applyProtection="1"/>
    <xf numFmtId="0" fontId="0" fillId="59" borderId="0" xfId="0" applyFont="1" applyFill="1" applyBorder="1" applyProtection="1"/>
    <xf numFmtId="0" fontId="25" fillId="59" borderId="0" xfId="0" applyFont="1" applyFill="1" applyAlignment="1" applyProtection="1">
      <alignment wrapText="1"/>
    </xf>
    <xf numFmtId="0" fontId="25" fillId="59" borderId="0" xfId="0" applyFont="1" applyFill="1" applyProtection="1"/>
    <xf numFmtId="0" fontId="25" fillId="59" borderId="0" xfId="0" applyFont="1" applyFill="1" applyBorder="1" applyProtection="1"/>
    <xf numFmtId="0" fontId="0" fillId="59" borderId="0" xfId="0" applyFont="1" applyFill="1"/>
    <xf numFmtId="9" fontId="70" fillId="59" borderId="0" xfId="2" applyFont="1" applyFill="1" applyBorder="1" applyAlignment="1" applyProtection="1">
      <alignment horizontal="left"/>
    </xf>
    <xf numFmtId="0" fontId="26" fillId="59" borderId="0" xfId="0" applyFont="1" applyFill="1" applyBorder="1" applyProtection="1"/>
    <xf numFmtId="0" fontId="17" fillId="59" borderId="0" xfId="0" applyFont="1" applyFill="1" applyBorder="1" applyAlignment="1" applyProtection="1">
      <alignment horizontal="right"/>
    </xf>
    <xf numFmtId="0" fontId="17" fillId="59" borderId="0" xfId="0" applyFont="1" applyFill="1" applyBorder="1" applyAlignment="1" applyProtection="1">
      <alignment horizontal="center"/>
    </xf>
    <xf numFmtId="0" fontId="17" fillId="59" borderId="0" xfId="0" applyFont="1" applyFill="1" applyProtection="1"/>
    <xf numFmtId="0" fontId="28" fillId="59" borderId="0" xfId="0" applyFont="1" applyFill="1" applyAlignment="1" applyProtection="1">
      <alignment vertical="top" wrapText="1"/>
    </xf>
    <xf numFmtId="0" fontId="28" fillId="59" borderId="0" xfId="0" applyFont="1" applyFill="1" applyAlignment="1">
      <alignment vertical="top" wrapText="1"/>
    </xf>
    <xf numFmtId="9" fontId="0" fillId="59" borderId="0" xfId="2" applyFont="1" applyFill="1" applyBorder="1" applyAlignment="1" applyProtection="1">
      <alignment horizontal="right" wrapText="1"/>
    </xf>
    <xf numFmtId="9" fontId="31" fillId="59" borderId="0" xfId="2" applyFont="1" applyFill="1" applyBorder="1" applyAlignment="1" applyProtection="1">
      <protection locked="0"/>
    </xf>
    <xf numFmtId="165" fontId="20" fillId="59" borderId="0" xfId="1" applyNumberFormat="1" applyFont="1" applyFill="1" applyBorder="1" applyAlignment="1" applyProtection="1">
      <alignment horizontal="center"/>
    </xf>
    <xf numFmtId="0" fontId="21" fillId="59" borderId="0" xfId="0" applyFont="1" applyFill="1" applyBorder="1" applyProtection="1"/>
    <xf numFmtId="0" fontId="21" fillId="59" borderId="0" xfId="0" applyFont="1" applyFill="1" applyProtection="1"/>
    <xf numFmtId="0" fontId="21" fillId="59" borderId="0" xfId="0" applyFont="1" applyFill="1" applyAlignment="1" applyProtection="1">
      <alignment horizontal="right"/>
    </xf>
    <xf numFmtId="0" fontId="0" fillId="59" borderId="0" xfId="0" applyFont="1" applyFill="1" applyBorder="1" applyAlignment="1" applyProtection="1">
      <alignment horizontal="right" wrapText="1"/>
    </xf>
    <xf numFmtId="9" fontId="50" fillId="59" borderId="0" xfId="2" applyFont="1" applyFill="1" applyBorder="1" applyAlignment="1" applyProtection="1">
      <protection locked="0"/>
    </xf>
    <xf numFmtId="0" fontId="21" fillId="59" borderId="0" xfId="0" applyFont="1" applyFill="1" applyBorder="1" applyAlignment="1" applyProtection="1">
      <alignment horizontal="left"/>
    </xf>
    <xf numFmtId="0" fontId="0" fillId="59" borderId="0" xfId="0" applyFont="1" applyFill="1" applyBorder="1" applyAlignment="1" applyProtection="1">
      <alignment horizontal="right"/>
    </xf>
    <xf numFmtId="9" fontId="32" fillId="59" borderId="0" xfId="2" applyFont="1" applyFill="1" applyBorder="1" applyProtection="1"/>
    <xf numFmtId="9" fontId="25" fillId="59" borderId="0" xfId="2" applyFont="1" applyFill="1" applyBorder="1" applyAlignment="1" applyProtection="1">
      <alignment horizontal="left"/>
    </xf>
    <xf numFmtId="0" fontId="15" fillId="59" borderId="0" xfId="0" applyFont="1" applyFill="1" applyBorder="1" applyAlignment="1" applyProtection="1">
      <alignment horizontal="center"/>
    </xf>
    <xf numFmtId="0" fontId="0" fillId="59" borderId="0" xfId="0" applyFont="1" applyFill="1" applyBorder="1" applyAlignment="1" applyProtection="1"/>
    <xf numFmtId="0" fontId="0" fillId="59" borderId="0" xfId="0" applyFont="1" applyFill="1" applyBorder="1"/>
    <xf numFmtId="9" fontId="11" fillId="59" borderId="0" xfId="2" applyFont="1" applyFill="1" applyBorder="1" applyProtection="1"/>
    <xf numFmtId="9" fontId="0" fillId="59" borderId="0" xfId="2" applyFont="1" applyFill="1" applyBorder="1" applyProtection="1"/>
    <xf numFmtId="0" fontId="54" fillId="59" borderId="0" xfId="0" applyFont="1" applyFill="1" applyProtection="1"/>
    <xf numFmtId="0" fontId="79" fillId="59" borderId="0" xfId="0" applyFont="1" applyFill="1"/>
    <xf numFmtId="0" fontId="55" fillId="59" borderId="0" xfId="0" applyFont="1" applyFill="1" applyProtection="1"/>
    <xf numFmtId="0" fontId="77" fillId="59" borderId="0" xfId="0" applyFont="1" applyFill="1" applyProtection="1"/>
    <xf numFmtId="0" fontId="43" fillId="59" borderId="9" xfId="0" applyFont="1" applyFill="1" applyBorder="1" applyAlignment="1" applyProtection="1">
      <alignment wrapText="1"/>
    </xf>
    <xf numFmtId="0" fontId="17" fillId="59" borderId="9" xfId="0" applyFont="1" applyFill="1" applyBorder="1" applyAlignment="1" applyProtection="1">
      <alignment wrapText="1"/>
    </xf>
    <xf numFmtId="0" fontId="17" fillId="59" borderId="0" xfId="0" applyFont="1" applyFill="1" applyAlignment="1" applyProtection="1">
      <alignment horizontal="left" wrapText="1"/>
    </xf>
    <xf numFmtId="0" fontId="17" fillId="59" borderId="0" xfId="0" applyFont="1" applyFill="1" applyAlignment="1" applyProtection="1">
      <alignment horizontal="left"/>
    </xf>
    <xf numFmtId="0" fontId="28" fillId="59" borderId="0" xfId="0" applyFont="1" applyFill="1" applyBorder="1" applyProtection="1"/>
    <xf numFmtId="0" fontId="17" fillId="59" borderId="0" xfId="0" applyFont="1" applyFill="1" applyBorder="1" applyProtection="1"/>
    <xf numFmtId="0" fontId="17" fillId="59" borderId="0" xfId="0" applyFont="1" applyFill="1" applyBorder="1" applyAlignment="1" applyProtection="1">
      <alignment horizontal="left"/>
    </xf>
    <xf numFmtId="0" fontId="55" fillId="59" borderId="0" xfId="0" applyFont="1" applyFill="1" applyBorder="1" applyProtection="1"/>
    <xf numFmtId="0" fontId="55" fillId="59" borderId="0" xfId="0" applyFont="1" applyFill="1" applyBorder="1" applyAlignment="1" applyProtection="1">
      <alignment horizontal="left"/>
    </xf>
    <xf numFmtId="0" fontId="25" fillId="59" borderId="0" xfId="0" applyFont="1" applyFill="1" applyBorder="1" applyAlignment="1" applyProtection="1">
      <alignment wrapText="1"/>
    </xf>
    <xf numFmtId="0" fontId="28" fillId="59" borderId="0" xfId="0" applyFont="1" applyFill="1" applyProtection="1"/>
    <xf numFmtId="0" fontId="21" fillId="59" borderId="0" xfId="0" applyFont="1" applyFill="1" applyAlignment="1" applyProtection="1">
      <alignment horizontal="left"/>
    </xf>
    <xf numFmtId="9" fontId="21" fillId="59" borderId="0" xfId="2" applyFont="1" applyFill="1" applyProtection="1"/>
    <xf numFmtId="9" fontId="21" fillId="59" borderId="0" xfId="2" applyFont="1" applyFill="1" applyAlignment="1" applyProtection="1">
      <alignment horizontal="right"/>
    </xf>
    <xf numFmtId="0" fontId="10" fillId="59" borderId="0" xfId="0" applyFont="1" applyFill="1" applyBorder="1" applyAlignment="1">
      <alignment horizontal="center"/>
    </xf>
    <xf numFmtId="0" fontId="21" fillId="59" borderId="0" xfId="0" applyFont="1" applyFill="1" applyBorder="1" applyAlignment="1" applyProtection="1">
      <alignment horizontal="right"/>
    </xf>
    <xf numFmtId="0" fontId="25" fillId="59" borderId="0" xfId="0" applyFont="1" applyFill="1" applyAlignment="1">
      <alignment wrapText="1"/>
    </xf>
    <xf numFmtId="2" fontId="0" fillId="59" borderId="0" xfId="0" applyNumberFormat="1" applyFont="1" applyFill="1" applyBorder="1" applyProtection="1"/>
    <xf numFmtId="0" fontId="12" fillId="59" borderId="0" xfId="0" applyFont="1" applyFill="1" applyBorder="1" applyProtection="1"/>
    <xf numFmtId="0" fontId="17" fillId="59" borderId="0" xfId="0" applyFont="1" applyFill="1" applyBorder="1" applyAlignment="1" applyProtection="1"/>
    <xf numFmtId="0" fontId="15" fillId="59" borderId="0" xfId="0" applyFont="1" applyFill="1" applyBorder="1" applyAlignment="1">
      <alignment vertical="center"/>
    </xf>
    <xf numFmtId="0" fontId="17" fillId="59" borderId="0" xfId="0" applyFont="1" applyFill="1" applyBorder="1"/>
    <xf numFmtId="0" fontId="11" fillId="59" borderId="0" xfId="0" applyFont="1" applyFill="1" applyBorder="1" applyAlignment="1">
      <alignment vertical="center"/>
    </xf>
    <xf numFmtId="0" fontId="32" fillId="59" borderId="0" xfId="0" applyFont="1" applyFill="1" applyBorder="1" applyAlignment="1">
      <alignment vertical="center"/>
    </xf>
    <xf numFmtId="0" fontId="0" fillId="59" borderId="0" xfId="0" applyFont="1" applyFill="1" applyBorder="1" applyAlignment="1"/>
    <xf numFmtId="0" fontId="25" fillId="59" borderId="0" xfId="0" applyFont="1" applyFill="1" applyBorder="1" applyAlignment="1"/>
    <xf numFmtId="0" fontId="27" fillId="59" borderId="0" xfId="0" applyFont="1" applyFill="1" applyBorder="1" applyProtection="1"/>
    <xf numFmtId="0" fontId="25" fillId="59" borderId="0" xfId="0" applyFont="1" applyFill="1"/>
    <xf numFmtId="0" fontId="25" fillId="59" borderId="0" xfId="0" applyFont="1" applyFill="1" applyBorder="1"/>
    <xf numFmtId="0" fontId="0" fillId="59" borderId="14" xfId="0" applyFont="1" applyFill="1" applyBorder="1" applyProtection="1"/>
    <xf numFmtId="0" fontId="0" fillId="59" borderId="14" xfId="0" applyFont="1" applyFill="1" applyBorder="1" applyAlignment="1" applyProtection="1">
      <alignment horizontal="right"/>
    </xf>
    <xf numFmtId="0" fontId="17" fillId="59" borderId="9" xfId="0" applyFont="1" applyFill="1" applyBorder="1" applyProtection="1"/>
    <xf numFmtId="0" fontId="0" fillId="12" borderId="0" xfId="0" applyFill="1" applyBorder="1"/>
    <xf numFmtId="9" fontId="0" fillId="12" borderId="0" xfId="2" applyNumberFormat="1" applyFont="1" applyFill="1" applyBorder="1"/>
    <xf numFmtId="167" fontId="0" fillId="12" borderId="18" xfId="1" applyNumberFormat="1" applyFont="1" applyFill="1" applyBorder="1"/>
    <xf numFmtId="0" fontId="0" fillId="12" borderId="22" xfId="0" applyFill="1" applyBorder="1"/>
    <xf numFmtId="9" fontId="0" fillId="12" borderId="22" xfId="2" applyNumberFormat="1" applyFont="1" applyFill="1" applyBorder="1"/>
    <xf numFmtId="167" fontId="0" fillId="12" borderId="19" xfId="1" applyNumberFormat="1" applyFont="1" applyFill="1" applyBorder="1"/>
    <xf numFmtId="0" fontId="17" fillId="12" borderId="9" xfId="0" applyFont="1" applyFill="1" applyBorder="1" applyProtection="1"/>
    <xf numFmtId="0" fontId="17" fillId="12" borderId="18" xfId="0" applyFont="1" applyFill="1" applyBorder="1" applyAlignment="1" applyProtection="1">
      <alignment horizontal="center" wrapText="1"/>
    </xf>
    <xf numFmtId="0" fontId="17" fillId="12" borderId="9" xfId="0" applyFont="1" applyFill="1" applyBorder="1" applyAlignment="1" applyProtection="1">
      <alignment horizontal="center"/>
    </xf>
    <xf numFmtId="9" fontId="17" fillId="12" borderId="18" xfId="2" applyFont="1" applyFill="1" applyBorder="1" applyProtection="1"/>
    <xf numFmtId="0" fontId="17" fillId="12" borderId="10" xfId="0" applyFont="1" applyFill="1" applyBorder="1" applyAlignment="1" applyProtection="1">
      <alignment horizontal="center"/>
    </xf>
    <xf numFmtId="9" fontId="17" fillId="12" borderId="19" xfId="2" applyFont="1" applyFill="1" applyBorder="1" applyProtection="1"/>
    <xf numFmtId="0" fontId="51" fillId="5" borderId="11" xfId="0" applyFont="1" applyFill="1" applyBorder="1" applyProtection="1"/>
    <xf numFmtId="0" fontId="0" fillId="5" borderId="17" xfId="0" applyFont="1" applyFill="1" applyBorder="1" applyProtection="1"/>
    <xf numFmtId="0" fontId="11" fillId="59" borderId="0" xfId="0" applyFont="1" applyFill="1" applyProtection="1"/>
    <xf numFmtId="0" fontId="11" fillId="59" borderId="0" xfId="0" applyFont="1" applyFill="1"/>
    <xf numFmtId="0" fontId="43" fillId="59" borderId="0" xfId="0" applyFont="1" applyFill="1"/>
    <xf numFmtId="0" fontId="21" fillId="59" borderId="0" xfId="0" applyFont="1" applyFill="1"/>
    <xf numFmtId="0" fontId="28" fillId="59" borderId="0" xfId="0" applyFont="1" applyFill="1" applyAlignment="1">
      <alignment vertical="top"/>
    </xf>
    <xf numFmtId="0" fontId="0" fillId="59" borderId="0" xfId="0" applyFill="1" applyAlignment="1">
      <alignment vertical="top"/>
    </xf>
    <xf numFmtId="0" fontId="43" fillId="59" borderId="0" xfId="0" applyFont="1" applyFill="1" applyBorder="1"/>
    <xf numFmtId="49" fontId="51" fillId="59" borderId="0" xfId="0" applyNumberFormat="1" applyFont="1" applyFill="1" applyBorder="1" applyAlignment="1" applyProtection="1">
      <alignment horizontal="left"/>
    </xf>
    <xf numFmtId="0" fontId="17" fillId="59" borderId="0" xfId="0" applyFont="1" applyFill="1" applyBorder="1" applyAlignment="1"/>
    <xf numFmtId="0" fontId="21" fillId="59" borderId="0" xfId="0" applyFont="1" applyFill="1" applyBorder="1" applyAlignment="1" applyProtection="1"/>
    <xf numFmtId="0" fontId="0" fillId="59" borderId="0" xfId="0" applyFont="1" applyFill="1" applyAlignment="1" applyProtection="1">
      <alignment horizontal="right"/>
    </xf>
    <xf numFmtId="0" fontId="20" fillId="59" borderId="0" xfId="0" applyFont="1" applyFill="1" applyBorder="1" applyProtection="1"/>
    <xf numFmtId="0" fontId="15" fillId="59" borderId="0" xfId="0" applyFont="1" applyFill="1" applyBorder="1" applyProtection="1"/>
    <xf numFmtId="49" fontId="15" fillId="59" borderId="0" xfId="0" applyNumberFormat="1" applyFont="1" applyFill="1" applyBorder="1" applyProtection="1"/>
    <xf numFmtId="2" fontId="0" fillId="59" borderId="14" xfId="2" applyNumberFormat="1" applyFont="1" applyFill="1" applyBorder="1" applyAlignment="1" applyProtection="1">
      <alignment horizontal="right"/>
    </xf>
    <xf numFmtId="1" fontId="0" fillId="59" borderId="14" xfId="2" applyNumberFormat="1" applyFont="1" applyFill="1" applyBorder="1" applyAlignment="1" applyProtection="1">
      <alignment horizontal="right"/>
    </xf>
    <xf numFmtId="0" fontId="17" fillId="59" borderId="14" xfId="0" applyFont="1" applyFill="1" applyBorder="1" applyProtection="1"/>
    <xf numFmtId="1" fontId="17" fillId="59" borderId="14" xfId="2" applyNumberFormat="1" applyFont="1" applyFill="1" applyBorder="1" applyAlignment="1" applyProtection="1">
      <alignment horizontal="right"/>
    </xf>
    <xf numFmtId="14" fontId="0" fillId="59" borderId="0" xfId="0" applyNumberFormat="1" applyFont="1" applyFill="1" applyAlignment="1" applyProtection="1">
      <alignment horizontal="left"/>
    </xf>
    <xf numFmtId="0" fontId="42" fillId="59" borderId="0" xfId="0" applyFont="1" applyFill="1" applyProtection="1"/>
    <xf numFmtId="0" fontId="77" fillId="59" borderId="0" xfId="0" applyFont="1" applyFill="1" applyAlignment="1" applyProtection="1">
      <alignment horizontal="left"/>
    </xf>
    <xf numFmtId="0" fontId="11" fillId="59" borderId="0" xfId="0" applyFont="1" applyFill="1" applyBorder="1" applyProtection="1"/>
    <xf numFmtId="0" fontId="78" fillId="59" borderId="0" xfId="0" applyFont="1" applyFill="1" applyBorder="1" applyAlignment="1">
      <alignment vertical="center"/>
    </xf>
    <xf numFmtId="0" fontId="0" fillId="59" borderId="0" xfId="0" applyFont="1" applyFill="1" applyBorder="1" applyAlignment="1">
      <alignment vertical="center"/>
    </xf>
    <xf numFmtId="0" fontId="17" fillId="59" borderId="0" xfId="0" applyFont="1" applyFill="1" applyBorder="1" applyAlignment="1">
      <alignment wrapText="1"/>
    </xf>
    <xf numFmtId="0" fontId="70" fillId="59" borderId="0" xfId="0" applyFont="1" applyFill="1" applyBorder="1" applyAlignment="1">
      <alignment vertical="center"/>
    </xf>
    <xf numFmtId="0" fontId="17" fillId="59" borderId="0" xfId="0" applyFont="1" applyFill="1" applyBorder="1" applyAlignment="1">
      <alignment vertical="center"/>
    </xf>
    <xf numFmtId="0" fontId="17" fillId="59" borderId="0" xfId="0" applyFont="1" applyFill="1" applyAlignment="1" applyProtection="1">
      <alignment horizontal="right"/>
    </xf>
    <xf numFmtId="0" fontId="42" fillId="59" borderId="0" xfId="0" applyFont="1" applyFill="1" applyBorder="1" applyAlignment="1">
      <alignment vertical="center"/>
    </xf>
    <xf numFmtId="0" fontId="42" fillId="59" borderId="0" xfId="0" applyFont="1" applyFill="1" applyAlignment="1" applyProtection="1">
      <alignment horizontal="right"/>
    </xf>
    <xf numFmtId="0" fontId="55" fillId="59" borderId="0" xfId="0" applyFont="1" applyFill="1" applyBorder="1" applyAlignment="1">
      <alignment vertical="center"/>
    </xf>
    <xf numFmtId="0" fontId="17" fillId="59" borderId="0" xfId="0" applyFont="1" applyFill="1" applyBorder="1" applyAlignment="1">
      <alignment horizontal="left" vertical="center"/>
    </xf>
    <xf numFmtId="0" fontId="28" fillId="59" borderId="0" xfId="0" applyFont="1" applyFill="1" applyBorder="1" applyAlignment="1">
      <alignment vertical="center"/>
    </xf>
    <xf numFmtId="0" fontId="27" fillId="59" borderId="0" xfId="0" applyFont="1" applyFill="1" applyProtection="1"/>
    <xf numFmtId="0" fontId="0" fillId="59" borderId="0" xfId="0" applyFont="1" applyFill="1" applyAlignment="1" applyProtection="1">
      <alignment horizontal="left"/>
    </xf>
    <xf numFmtId="0" fontId="0" fillId="59" borderId="0" xfId="0" applyFont="1" applyFill="1" applyAlignment="1" applyProtection="1">
      <alignment horizontal="left" wrapText="1"/>
    </xf>
    <xf numFmtId="14" fontId="30" fillId="59" borderId="0" xfId="0" applyNumberFormat="1" applyFont="1" applyFill="1" applyAlignment="1" applyProtection="1">
      <alignment horizontal="left"/>
    </xf>
    <xf numFmtId="0" fontId="29" fillId="59" borderId="0" xfId="0" applyFont="1" applyFill="1" applyAlignment="1" applyProtection="1">
      <alignment horizontal="left"/>
    </xf>
    <xf numFmtId="0" fontId="0" fillId="59" borderId="6" xfId="0" applyFont="1" applyFill="1" applyBorder="1" applyProtection="1"/>
    <xf numFmtId="9" fontId="0" fillId="59" borderId="0" xfId="2" applyFont="1" applyFill="1" applyProtection="1"/>
    <xf numFmtId="0" fontId="11" fillId="59" borderId="0" xfId="0" applyFont="1" applyFill="1" applyBorder="1" applyAlignment="1"/>
    <xf numFmtId="0" fontId="43" fillId="59" borderId="0" xfId="0" applyFont="1" applyFill="1" applyBorder="1" applyAlignment="1" applyProtection="1">
      <alignment wrapText="1"/>
    </xf>
    <xf numFmtId="0" fontId="17" fillId="59" borderId="0" xfId="0" applyFont="1" applyFill="1" applyBorder="1" applyAlignment="1" applyProtection="1">
      <alignment wrapText="1"/>
    </xf>
    <xf numFmtId="0" fontId="0" fillId="59" borderId="0" xfId="0" applyFill="1"/>
    <xf numFmtId="0" fontId="0" fillId="59" borderId="0" xfId="0" applyFill="1" applyAlignment="1">
      <alignment horizontal="right"/>
    </xf>
    <xf numFmtId="15" fontId="0" fillId="59" borderId="0" xfId="0" applyNumberFormat="1" applyFill="1" applyAlignment="1">
      <alignment horizontal="center"/>
    </xf>
    <xf numFmtId="0" fontId="3" fillId="59" borderId="0" xfId="0" applyFont="1" applyFill="1"/>
    <xf numFmtId="0" fontId="2" fillId="59" borderId="0" xfId="0" applyFont="1" applyFill="1" applyBorder="1"/>
    <xf numFmtId="167" fontId="0" fillId="59" borderId="0" xfId="1" applyNumberFormat="1" applyFont="1" applyFill="1" applyBorder="1"/>
    <xf numFmtId="0" fontId="0" fillId="59" borderId="0" xfId="0" applyFill="1" applyBorder="1"/>
    <xf numFmtId="0" fontId="1" fillId="59" borderId="0" xfId="0" applyFont="1" applyFill="1" applyBorder="1" applyAlignment="1">
      <alignment horizontal="left" indent="1"/>
    </xf>
    <xf numFmtId="0" fontId="41" fillId="59" borderId="0" xfId="0" applyFont="1" applyFill="1" applyBorder="1" applyAlignment="1">
      <alignment horizontal="left" indent="1"/>
    </xf>
    <xf numFmtId="167" fontId="37" fillId="59" borderId="0" xfId="1" applyNumberFormat="1" applyFont="1" applyFill="1" applyBorder="1"/>
    <xf numFmtId="0" fontId="10" fillId="59" borderId="0" xfId="0" applyFont="1" applyFill="1" applyBorder="1"/>
    <xf numFmtId="0" fontId="22" fillId="59" borderId="0" xfId="0" applyFont="1" applyFill="1" applyBorder="1"/>
    <xf numFmtId="0" fontId="23" fillId="59" borderId="0" xfId="0" applyFont="1" applyFill="1" applyBorder="1"/>
    <xf numFmtId="0" fontId="24" fillId="59" borderId="0" xfId="0" applyFont="1" applyFill="1" applyBorder="1" applyAlignment="1">
      <alignment horizontal="left" indent="1"/>
    </xf>
    <xf numFmtId="43" fontId="23" fillId="59" borderId="0" xfId="1" applyFont="1" applyFill="1" applyBorder="1"/>
    <xf numFmtId="43" fontId="23" fillId="59" borderId="0" xfId="0" applyNumberFormat="1" applyFont="1" applyFill="1" applyBorder="1"/>
    <xf numFmtId="0" fontId="3" fillId="59" borderId="0" xfId="0" applyFont="1" applyFill="1" applyBorder="1"/>
    <xf numFmtId="0" fontId="0" fillId="59" borderId="0" xfId="0" applyFill="1" applyBorder="1" applyAlignment="1">
      <alignment horizontal="left" indent="1"/>
    </xf>
    <xf numFmtId="0" fontId="53" fillId="59" borderId="0" xfId="0" applyFont="1" applyFill="1"/>
    <xf numFmtId="0" fontId="33" fillId="59" borderId="0" xfId="0" applyFont="1" applyFill="1" applyBorder="1" applyAlignment="1"/>
    <xf numFmtId="43" fontId="24" fillId="59" borderId="0" xfId="1" applyFont="1" applyFill="1" applyBorder="1" applyAlignment="1">
      <alignment horizontal="left" indent="1"/>
    </xf>
    <xf numFmtId="0" fontId="0" fillId="59" borderId="0" xfId="0" applyFill="1" applyBorder="1" applyAlignment="1">
      <alignment horizontal="left" indent="3"/>
    </xf>
    <xf numFmtId="170" fontId="37" fillId="59" borderId="0" xfId="0" applyNumberFormat="1" applyFont="1" applyFill="1" applyBorder="1"/>
    <xf numFmtId="0" fontId="37" fillId="59" borderId="0" xfId="0" applyFont="1" applyFill="1" applyBorder="1"/>
    <xf numFmtId="0" fontId="18" fillId="59" borderId="0" xfId="0" applyFont="1" applyFill="1" applyBorder="1"/>
    <xf numFmtId="170" fontId="19" fillId="59" borderId="0" xfId="1" applyNumberFormat="1" applyFont="1" applyFill="1" applyBorder="1"/>
    <xf numFmtId="0" fontId="35" fillId="59" borderId="0" xfId="0" quotePrefix="1" applyFont="1" applyFill="1" applyBorder="1"/>
    <xf numFmtId="0" fontId="34" fillId="59" borderId="0" xfId="0" applyFont="1" applyFill="1" applyBorder="1"/>
    <xf numFmtId="170" fontId="20" fillId="59" borderId="0" xfId="0" applyNumberFormat="1" applyFont="1" applyFill="1" applyBorder="1"/>
    <xf numFmtId="168" fontId="0" fillId="59" borderId="0" xfId="0" applyNumberFormat="1" applyFill="1"/>
    <xf numFmtId="0" fontId="17" fillId="59" borderId="0" xfId="0" applyFont="1" applyFill="1"/>
    <xf numFmtId="0" fontId="10" fillId="59" borderId="0" xfId="0" applyFont="1" applyFill="1" applyAlignment="1">
      <alignment horizontal="left"/>
    </xf>
    <xf numFmtId="164" fontId="0" fillId="59" borderId="0" xfId="1" applyNumberFormat="1" applyFont="1" applyFill="1" applyBorder="1"/>
    <xf numFmtId="0" fontId="0" fillId="59" borderId="1" xfId="0" applyFill="1" applyBorder="1"/>
    <xf numFmtId="0" fontId="0" fillId="59" borderId="13" xfId="0" applyFill="1" applyBorder="1"/>
    <xf numFmtId="0" fontId="0" fillId="59" borderId="4" xfId="0" applyFill="1" applyBorder="1"/>
    <xf numFmtId="0" fontId="0" fillId="59" borderId="26" xfId="0" applyFill="1" applyBorder="1"/>
    <xf numFmtId="0" fontId="0" fillId="59" borderId="6" xfId="0" applyFill="1" applyBorder="1"/>
    <xf numFmtId="0" fontId="0" fillId="59" borderId="0" xfId="0" applyFill="1" applyBorder="1" applyAlignment="1">
      <alignment horizontal="center"/>
    </xf>
    <xf numFmtId="0" fontId="38" fillId="59" borderId="0" xfId="0" applyFont="1" applyFill="1" applyBorder="1" applyAlignment="1">
      <alignment horizontal="center"/>
    </xf>
    <xf numFmtId="0" fontId="2" fillId="59" borderId="0" xfId="0" applyFont="1" applyFill="1" applyBorder="1" applyAlignment="1">
      <alignment horizontal="center" wrapText="1"/>
    </xf>
    <xf numFmtId="164" fontId="10" fillId="59" borderId="0" xfId="1" applyNumberFormat="1" applyFont="1" applyFill="1" applyBorder="1"/>
    <xf numFmtId="43" fontId="4" fillId="59" borderId="0" xfId="0" applyNumberFormat="1" applyFont="1" applyFill="1" applyBorder="1"/>
    <xf numFmtId="43" fontId="0" fillId="59" borderId="0" xfId="0" applyNumberFormat="1" applyFill="1"/>
    <xf numFmtId="0" fontId="38" fillId="59" borderId="0" xfId="0" applyFont="1" applyFill="1" applyBorder="1" applyAlignment="1"/>
    <xf numFmtId="43" fontId="36" fillId="59" borderId="0" xfId="0" applyNumberFormat="1" applyFont="1" applyFill="1" applyBorder="1"/>
    <xf numFmtId="43" fontId="10" fillId="59" borderId="0" xfId="0" applyNumberFormat="1" applyFont="1" applyFill="1" applyBorder="1"/>
    <xf numFmtId="9" fontId="23" fillId="59" borderId="0" xfId="2" applyFont="1" applyFill="1"/>
    <xf numFmtId="164" fontId="0" fillId="59" borderId="0" xfId="0" applyNumberFormat="1" applyFill="1"/>
    <xf numFmtId="170" fontId="15" fillId="59" borderId="0" xfId="0" applyNumberFormat="1" applyFont="1" applyFill="1" applyBorder="1" applyAlignment="1" applyProtection="1">
      <alignment wrapText="1"/>
    </xf>
    <xf numFmtId="170" fontId="0" fillId="59" borderId="0" xfId="0" applyNumberFormat="1" applyFill="1" applyBorder="1" applyAlignment="1">
      <alignment wrapText="1"/>
    </xf>
    <xf numFmtId="170" fontId="0" fillId="59" borderId="0" xfId="0" applyNumberFormat="1" applyFill="1" applyBorder="1" applyAlignment="1">
      <alignment horizontal="right" wrapText="1"/>
    </xf>
    <xf numFmtId="0" fontId="32" fillId="59" borderId="0" xfId="0" applyFont="1" applyFill="1" applyBorder="1" applyAlignment="1">
      <alignment horizontal="left" wrapText="1"/>
    </xf>
    <xf numFmtId="0" fontId="11" fillId="59" borderId="0" xfId="0" applyFont="1" applyFill="1" applyBorder="1" applyAlignment="1">
      <alignment horizontal="left" vertical="center" wrapText="1"/>
    </xf>
    <xf numFmtId="0" fontId="11" fillId="59" borderId="0" xfId="0" applyFont="1" applyFill="1" applyBorder="1" applyAlignment="1">
      <alignment horizontal="left" wrapText="1"/>
    </xf>
    <xf numFmtId="0" fontId="17" fillId="4" borderId="10" xfId="0" applyFont="1" applyFill="1" applyBorder="1" applyAlignment="1" applyProtection="1">
      <alignment horizontal="right" indent="1"/>
    </xf>
    <xf numFmtId="171" fontId="84" fillId="4" borderId="22" xfId="0" applyNumberFormat="1" applyFont="1" applyFill="1" applyBorder="1" applyProtection="1"/>
    <xf numFmtId="1" fontId="44" fillId="8" borderId="0" xfId="2" applyNumberFormat="1" applyFont="1" applyFill="1" applyBorder="1" applyAlignment="1" applyProtection="1">
      <alignment horizontal="right"/>
      <protection locked="0"/>
    </xf>
    <xf numFmtId="43" fontId="21" fillId="59" borderId="0" xfId="0" applyNumberFormat="1" applyFont="1" applyFill="1"/>
    <xf numFmtId="170" fontId="71" fillId="4" borderId="18" xfId="2" applyNumberFormat="1" applyFont="1" applyFill="1" applyBorder="1" applyAlignment="1" applyProtection="1"/>
    <xf numFmtId="2" fontId="45" fillId="59" borderId="0" xfId="0" applyNumberFormat="1" applyFont="1" applyFill="1" applyBorder="1" applyProtection="1"/>
    <xf numFmtId="2" fontId="11" fillId="59" borderId="0" xfId="0" applyNumberFormat="1" applyFont="1" applyFill="1" applyBorder="1" applyProtection="1"/>
    <xf numFmtId="9" fontId="25" fillId="9" borderId="18" xfId="2" applyFont="1" applyFill="1" applyBorder="1" applyAlignment="1" applyProtection="1">
      <alignment horizontal="left" wrapText="1"/>
    </xf>
    <xf numFmtId="2" fontId="71" fillId="9" borderId="12" xfId="2" applyNumberFormat="1" applyFont="1" applyFill="1" applyBorder="1" applyAlignment="1">
      <alignment horizontal="right"/>
    </xf>
    <xf numFmtId="9" fontId="75" fillId="9" borderId="17" xfId="2" applyFont="1" applyFill="1" applyBorder="1" applyAlignment="1" applyProtection="1">
      <alignment horizontal="left"/>
    </xf>
    <xf numFmtId="2" fontId="34" fillId="59" borderId="0" xfId="1" applyNumberFormat="1" applyFont="1" applyFill="1" applyBorder="1" applyProtection="1"/>
    <xf numFmtId="9" fontId="0" fillId="59" borderId="0" xfId="2" applyFont="1" applyFill="1" applyBorder="1" applyAlignment="1" applyProtection="1">
      <alignment horizontal="right"/>
    </xf>
    <xf numFmtId="9" fontId="71" fillId="59" borderId="0" xfId="2" applyFont="1" applyFill="1" applyBorder="1" applyAlignment="1" applyProtection="1">
      <alignment horizontal="right"/>
    </xf>
    <xf numFmtId="43" fontId="71" fillId="59" borderId="0" xfId="1" applyNumberFormat="1" applyFont="1" applyFill="1" applyBorder="1" applyAlignment="1" applyProtection="1"/>
    <xf numFmtId="9" fontId="71" fillId="3" borderId="12" xfId="2" applyFont="1" applyFill="1" applyBorder="1" applyAlignment="1" applyProtection="1">
      <alignment horizontal="right"/>
    </xf>
    <xf numFmtId="43" fontId="71" fillId="3" borderId="17" xfId="1" applyNumberFormat="1" applyFont="1" applyFill="1" applyBorder="1" applyAlignment="1" applyProtection="1"/>
    <xf numFmtId="0" fontId="86" fillId="59" borderId="0" xfId="0" applyFont="1" applyFill="1"/>
    <xf numFmtId="2" fontId="71" fillId="4" borderId="19" xfId="0" applyNumberFormat="1" applyFont="1" applyFill="1" applyBorder="1" applyProtection="1"/>
    <xf numFmtId="0" fontId="87" fillId="59" borderId="0" xfId="0" applyFont="1" applyFill="1" applyAlignment="1" applyProtection="1">
      <alignment horizontal="left"/>
    </xf>
    <xf numFmtId="165" fontId="88" fillId="11" borderId="22" xfId="1" applyNumberFormat="1" applyFont="1" applyFill="1" applyBorder="1" applyAlignment="1" applyProtection="1">
      <alignment horizontal="right"/>
      <protection locked="0"/>
    </xf>
    <xf numFmtId="170" fontId="0" fillId="3" borderId="18" xfId="0" applyNumberFormat="1" applyFont="1" applyFill="1" applyBorder="1" applyProtection="1"/>
    <xf numFmtId="170" fontId="0" fillId="3" borderId="19" xfId="0" applyNumberFormat="1" applyFont="1" applyFill="1" applyBorder="1" applyProtection="1"/>
    <xf numFmtId="170" fontId="0" fillId="0" borderId="0" xfId="0" applyNumberFormat="1" applyFont="1" applyFill="1" applyProtection="1"/>
    <xf numFmtId="170" fontId="0" fillId="3" borderId="17" xfId="0" applyNumberFormat="1" applyFont="1" applyFill="1" applyBorder="1" applyProtection="1"/>
    <xf numFmtId="170" fontId="0" fillId="3" borderId="20" xfId="0" applyNumberFormat="1" applyFont="1" applyFill="1" applyBorder="1" applyProtection="1"/>
    <xf numFmtId="0" fontId="86" fillId="59" borderId="0" xfId="0" applyFont="1" applyFill="1" applyProtection="1"/>
    <xf numFmtId="0" fontId="86" fillId="59" borderId="0" xfId="0" applyFont="1" applyFill="1" applyAlignment="1" applyProtection="1">
      <alignment horizontal="left"/>
    </xf>
    <xf numFmtId="0" fontId="54" fillId="59" borderId="0" xfId="0" applyFont="1" applyFill="1"/>
    <xf numFmtId="170" fontId="85" fillId="4" borderId="22" xfId="1" applyNumberFormat="1" applyFont="1" applyFill="1" applyBorder="1" applyAlignment="1" applyProtection="1"/>
    <xf numFmtId="172" fontId="21" fillId="59" borderId="0" xfId="0" applyNumberFormat="1" applyFont="1" applyFill="1"/>
    <xf numFmtId="2" fontId="71" fillId="4" borderId="18" xfId="2" applyNumberFormat="1" applyFont="1" applyFill="1" applyBorder="1" applyAlignment="1" applyProtection="1"/>
    <xf numFmtId="170" fontId="34" fillId="3" borderId="22" xfId="1" applyNumberFormat="1" applyFont="1" applyFill="1" applyBorder="1" applyProtection="1"/>
    <xf numFmtId="0" fontId="89" fillId="59" borderId="0" xfId="0" applyFont="1" applyFill="1" applyProtection="1"/>
    <xf numFmtId="49" fontId="31" fillId="13" borderId="0" xfId="0" applyNumberFormat="1" applyFont="1" applyFill="1" applyBorder="1" applyAlignment="1" applyProtection="1">
      <alignment horizontal="right"/>
      <protection locked="0"/>
    </xf>
    <xf numFmtId="1" fontId="31" fillId="13" borderId="0" xfId="1" applyNumberFormat="1" applyFont="1" applyFill="1" applyBorder="1" applyAlignment="1" applyProtection="1">
      <protection locked="0"/>
    </xf>
    <xf numFmtId="2" fontId="31" fillId="13" borderId="0" xfId="1" applyNumberFormat="1" applyFont="1" applyFill="1" applyBorder="1" applyAlignment="1" applyProtection="1">
      <alignment horizontal="right"/>
    </xf>
    <xf numFmtId="1" fontId="31" fillId="9" borderId="14" xfId="1" applyNumberFormat="1" applyFont="1" applyFill="1" applyBorder="1" applyAlignment="1" applyProtection="1">
      <protection locked="0"/>
    </xf>
    <xf numFmtId="9" fontId="31" fillId="9" borderId="14" xfId="2" applyFont="1" applyFill="1" applyBorder="1" applyAlignment="1" applyProtection="1">
      <alignment horizontal="left" wrapText="1"/>
    </xf>
    <xf numFmtId="165" fontId="31" fillId="13" borderId="0" xfId="1" applyNumberFormat="1" applyFont="1" applyFill="1" applyBorder="1" applyAlignment="1" applyProtection="1">
      <alignment horizontal="right"/>
      <protection locked="0"/>
    </xf>
    <xf numFmtId="165" fontId="31" fillId="13" borderId="22" xfId="1" applyNumberFormat="1" applyFont="1" applyFill="1" applyBorder="1" applyAlignment="1" applyProtection="1">
      <alignment horizontal="right"/>
      <protection locked="0"/>
    </xf>
    <xf numFmtId="0" fontId="90" fillId="59" borderId="0" xfId="0" applyFont="1" applyFill="1" applyProtection="1"/>
    <xf numFmtId="9" fontId="17" fillId="0" borderId="0" xfId="2" applyFont="1" applyFill="1" applyBorder="1" applyAlignment="1">
      <alignment horizontal="left"/>
    </xf>
    <xf numFmtId="0" fontId="23" fillId="3" borderId="0" xfId="0" applyFont="1" applyFill="1" applyBorder="1" applyAlignment="1" applyProtection="1">
      <alignment horizontal="right"/>
    </xf>
    <xf numFmtId="0" fontId="15" fillId="3" borderId="9" xfId="0" applyFont="1" applyFill="1" applyBorder="1" applyAlignment="1" applyProtection="1">
      <alignment horizontal="right"/>
    </xf>
    <xf numFmtId="0" fontId="32" fillId="59" borderId="0" xfId="0" applyFont="1" applyFill="1" applyBorder="1" applyAlignment="1">
      <alignment horizontal="left" wrapText="1"/>
    </xf>
    <xf numFmtId="0" fontId="11" fillId="59" borderId="0" xfId="0" applyFont="1" applyFill="1" applyBorder="1" applyAlignment="1">
      <alignment horizontal="left" vertical="center" wrapText="1"/>
    </xf>
    <xf numFmtId="0" fontId="11" fillId="59" borderId="0" xfId="0" applyFont="1" applyFill="1" applyBorder="1" applyAlignment="1">
      <alignment horizontal="left" wrapText="1"/>
    </xf>
    <xf numFmtId="0" fontId="54" fillId="59" borderId="0" xfId="0" applyFont="1" applyFill="1" applyAlignment="1" applyProtection="1">
      <alignment horizontal="left"/>
    </xf>
    <xf numFmtId="0" fontId="0" fillId="0" borderId="0" xfId="0" applyAlignment="1">
      <alignment horizontal="left" wrapText="1"/>
    </xf>
    <xf numFmtId="9" fontId="71" fillId="3" borderId="14" xfId="2" applyFont="1" applyFill="1" applyBorder="1" applyAlignment="1" applyProtection="1">
      <alignment horizontal="right"/>
    </xf>
    <xf numFmtId="9" fontId="71" fillId="3" borderId="20" xfId="2" applyFont="1" applyFill="1" applyBorder="1" applyAlignment="1" applyProtection="1">
      <alignment horizontal="right"/>
    </xf>
    <xf numFmtId="165" fontId="75" fillId="3" borderId="0" xfId="1" applyNumberFormat="1" applyFont="1" applyFill="1" applyBorder="1" applyAlignment="1" applyProtection="1">
      <alignment horizontal="right"/>
    </xf>
    <xf numFmtId="165" fontId="75" fillId="3" borderId="18" xfId="1" applyNumberFormat="1" applyFont="1" applyFill="1" applyBorder="1" applyAlignment="1" applyProtection="1">
      <alignment horizontal="right"/>
    </xf>
    <xf numFmtId="0" fontId="10" fillId="7" borderId="11" xfId="0" applyFont="1" applyFill="1" applyBorder="1" applyAlignment="1">
      <alignment horizontal="center"/>
    </xf>
    <xf numFmtId="0" fontId="10" fillId="7" borderId="17" xfId="0" applyFont="1" applyFill="1" applyBorder="1" applyAlignment="1">
      <alignment horizontal="center"/>
    </xf>
    <xf numFmtId="0" fontId="32" fillId="59" borderId="0" xfId="0" applyFont="1" applyFill="1" applyBorder="1" applyAlignment="1">
      <alignment horizontal="left" wrapText="1"/>
    </xf>
    <xf numFmtId="0" fontId="11" fillId="59" borderId="0" xfId="0" applyFont="1" applyFill="1" applyBorder="1" applyAlignment="1">
      <alignment horizontal="left" vertical="center" wrapText="1"/>
    </xf>
    <xf numFmtId="0" fontId="11" fillId="59" borderId="0" xfId="0" applyFont="1" applyFill="1" applyBorder="1" applyAlignment="1">
      <alignment horizontal="left" wrapText="1"/>
    </xf>
    <xf numFmtId="0" fontId="38" fillId="19" borderId="11" xfId="0" applyFont="1" applyFill="1" applyBorder="1" applyAlignment="1">
      <alignment horizontal="center"/>
    </xf>
    <xf numFmtId="0" fontId="38" fillId="19" borderId="12" xfId="0" applyFont="1" applyFill="1" applyBorder="1" applyAlignment="1">
      <alignment horizontal="center"/>
    </xf>
    <xf numFmtId="0" fontId="38" fillId="19" borderId="17" xfId="0" applyFont="1" applyFill="1" applyBorder="1" applyAlignment="1">
      <alignment horizontal="center"/>
    </xf>
    <xf numFmtId="0" fontId="52" fillId="26" borderId="11" xfId="0" applyFont="1" applyFill="1" applyBorder="1" applyAlignment="1">
      <alignment horizontal="center"/>
    </xf>
    <xf numFmtId="0" fontId="52" fillId="26" borderId="12" xfId="0" applyFont="1" applyFill="1" applyBorder="1" applyAlignment="1">
      <alignment horizontal="center"/>
    </xf>
    <xf numFmtId="0" fontId="52" fillId="26" borderId="17" xfId="0" applyFont="1" applyFill="1" applyBorder="1" applyAlignment="1">
      <alignment horizontal="center"/>
    </xf>
    <xf numFmtId="0" fontId="38" fillId="18" borderId="25" xfId="0" applyFont="1" applyFill="1" applyBorder="1" applyAlignment="1">
      <alignment horizontal="center"/>
    </xf>
    <xf numFmtId="0" fontId="38" fillId="18" borderId="28" xfId="0" applyFont="1" applyFill="1" applyBorder="1" applyAlignment="1">
      <alignment horizontal="center"/>
    </xf>
    <xf numFmtId="164" fontId="0" fillId="0" borderId="21" xfId="1" applyNumberFormat="1" applyFont="1" applyBorder="1" applyAlignment="1">
      <alignment horizontal="center"/>
    </xf>
    <xf numFmtId="164" fontId="0" fillId="0" borderId="20" xfId="1" applyNumberFormat="1" applyFont="1" applyBorder="1" applyAlignment="1">
      <alignment horizontal="center"/>
    </xf>
    <xf numFmtId="0" fontId="0" fillId="0" borderId="14" xfId="0" applyBorder="1" applyAlignment="1">
      <alignment horizontal="center"/>
    </xf>
    <xf numFmtId="0" fontId="0" fillId="0" borderId="20" xfId="0" applyBorder="1" applyAlignment="1">
      <alignment horizontal="center"/>
    </xf>
  </cellXfs>
  <cellStyles count="4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ellStyle name="Comma 2" xfId="3" xr:uid="{00000000-0005-0000-0000-00001C000000}"/>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te" xfId="19" builtinId="10" customBuiltin="1"/>
    <cellStyle name="Output" xfId="14" builtinId="21" customBuiltin="1"/>
    <cellStyle name="Percent" xfId="2" builtinId="5"/>
    <cellStyle name="Percent 2" xfId="4" xr:uid="{00000000-0005-0000-0000-00002A000000}"/>
    <cellStyle name="Title" xfId="5" builtinId="15" customBuiltin="1"/>
    <cellStyle name="Total" xfId="21" builtinId="25" customBuiltin="1"/>
    <cellStyle name="Warning Text" xfId="18" builtinId="11" customBuiltin="1"/>
  </cellStyles>
  <dxfs count="25">
    <dxf>
      <font>
        <b/>
        <i val="0"/>
      </font>
      <fill>
        <patternFill>
          <bgColor rgb="FFFF0000"/>
        </patternFill>
      </fill>
    </dxf>
    <dxf>
      <font>
        <b/>
        <i val="0"/>
      </font>
      <fill>
        <patternFill>
          <bgColor rgb="FFFF0000"/>
        </patternFill>
      </fill>
    </dxf>
    <dxf>
      <font>
        <b/>
        <i val="0"/>
      </font>
      <fill>
        <patternFill>
          <bgColor rgb="FFFF0000"/>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ont>
        <color theme="0" tint="-0.34998626667073579"/>
      </font>
      <fill>
        <patternFill>
          <bgColor theme="4" tint="0.59996337778862885"/>
        </patternFill>
      </fill>
    </dxf>
    <dxf>
      <fill>
        <patternFill>
          <bgColor theme="3" tint="0.79998168889431442"/>
        </patternFill>
      </fill>
    </dxf>
    <dxf>
      <font>
        <color theme="7" tint="0.39994506668294322"/>
      </font>
    </dxf>
    <dxf>
      <font>
        <color theme="0" tint="-0.24994659260841701"/>
      </font>
      <fill>
        <patternFill>
          <bgColor theme="6" tint="0.59996337778862885"/>
        </patternFill>
      </fill>
    </dxf>
    <dxf>
      <font>
        <color theme="0" tint="-0.24994659260841701"/>
      </font>
      <fill>
        <patternFill>
          <bgColor theme="6" tint="0.59996337778862885"/>
        </patternFill>
      </fill>
    </dxf>
    <dxf>
      <font>
        <color theme="0" tint="-0.24994659260841701"/>
      </font>
      <fill>
        <patternFill>
          <bgColor theme="6" tint="0.59996337778862885"/>
        </patternFill>
      </fill>
    </dxf>
    <dxf>
      <font>
        <color theme="0" tint="-0.24994659260841701"/>
      </font>
      <fill>
        <patternFill>
          <bgColor theme="6" tint="0.59996337778862885"/>
        </patternFill>
      </fill>
    </dxf>
    <dxf>
      <font>
        <b val="0"/>
        <i val="0"/>
        <color theme="0" tint="-0.24994659260841701"/>
      </font>
      <fill>
        <patternFill>
          <bgColor theme="6" tint="0.59996337778862885"/>
        </patternFill>
      </fill>
    </dxf>
    <dxf>
      <font>
        <color theme="0" tint="-0.24994659260841701"/>
      </font>
      <fill>
        <patternFill>
          <bgColor theme="6" tint="0.59996337778862885"/>
        </patternFill>
      </fill>
    </dxf>
    <dxf>
      <font>
        <color theme="0" tint="-0.24994659260841701"/>
      </font>
      <fill>
        <patternFill>
          <bgColor theme="6" tint="0.59996337778862885"/>
        </patternFill>
      </fill>
    </dxf>
    <dxf>
      <font>
        <color theme="0" tint="-0.34998626667073579"/>
      </font>
      <fill>
        <patternFill>
          <bgColor theme="6" tint="0.59996337778862885"/>
        </patternFill>
      </fill>
    </dxf>
    <dxf>
      <font>
        <color theme="0" tint="-0.34998626667073579"/>
      </font>
      <fill>
        <patternFill>
          <bgColor theme="2" tint="-0.24994659260841701"/>
        </patternFill>
      </fill>
    </dxf>
    <dxf>
      <font>
        <color theme="0" tint="-0.34998626667073579"/>
      </font>
      <fill>
        <patternFill>
          <bgColor theme="2" tint="-0.24994659260841701"/>
        </patternFill>
      </fill>
    </dxf>
    <dxf>
      <font>
        <color theme="0" tint="-0.34998626667073579"/>
      </font>
      <fill>
        <patternFill>
          <bgColor theme="2" tint="-0.24994659260841701"/>
        </patternFill>
      </fill>
    </dxf>
  </dxfs>
  <tableStyles count="0" defaultTableStyle="TableStyleMedium9" defaultPivotStyle="PivotStyleLight16"/>
  <colors>
    <mruColors>
      <color rgb="FF6600CC"/>
      <color rgb="FFE5F16F"/>
      <color rgb="FFFFFF99"/>
      <color rgb="FFC5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451421</xdr:colOff>
      <xdr:row>21</xdr:row>
      <xdr:rowOff>170668</xdr:rowOff>
    </xdr:from>
    <xdr:to>
      <xdr:col>9</xdr:col>
      <xdr:colOff>538156</xdr:colOff>
      <xdr:row>27</xdr:row>
      <xdr:rowOff>48726</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flipH="1">
          <a:off x="4718621" y="4171168"/>
          <a:ext cx="1305935" cy="102105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65726</xdr:colOff>
      <xdr:row>20</xdr:row>
      <xdr:rowOff>12194</xdr:rowOff>
    </xdr:from>
    <xdr:to>
      <xdr:col>18</xdr:col>
      <xdr:colOff>184417</xdr:colOff>
      <xdr:row>25</xdr:row>
      <xdr:rowOff>53003</xdr:rowOff>
    </xdr:to>
    <xdr:cxnSp macro="">
      <xdr:nvCxnSpPr>
        <xdr:cNvPr id="17" name="Straight Arrow Connector 16">
          <a:extLst>
            <a:ext uri="{FF2B5EF4-FFF2-40B4-BE49-F238E27FC236}">
              <a16:creationId xmlns:a16="http://schemas.microsoft.com/office/drawing/2014/main" id="{00000000-0008-0000-0100-000011000000}"/>
            </a:ext>
          </a:extLst>
        </xdr:cNvPr>
        <xdr:cNvCxnSpPr/>
      </xdr:nvCxnSpPr>
      <xdr:spPr>
        <a:xfrm>
          <a:off x="9819326" y="3822194"/>
          <a:ext cx="1337891" cy="99330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584200</xdr:colOff>
      <xdr:row>4</xdr:row>
      <xdr:rowOff>38100</xdr:rowOff>
    </xdr:from>
    <xdr:to>
      <xdr:col>20</xdr:col>
      <xdr:colOff>84343</xdr:colOff>
      <xdr:row>34</xdr:row>
      <xdr:rowOff>86640</xdr:rowOff>
    </xdr:to>
    <xdr:grpSp>
      <xdr:nvGrpSpPr>
        <xdr:cNvPr id="57" name="Group 56">
          <a:extLst>
            <a:ext uri="{FF2B5EF4-FFF2-40B4-BE49-F238E27FC236}">
              <a16:creationId xmlns:a16="http://schemas.microsoft.com/office/drawing/2014/main" id="{00000000-0008-0000-0100-000039000000}"/>
            </a:ext>
          </a:extLst>
        </xdr:cNvPr>
        <xdr:cNvGrpSpPr/>
      </xdr:nvGrpSpPr>
      <xdr:grpSpPr>
        <a:xfrm>
          <a:off x="3632200" y="769620"/>
          <a:ext cx="8644143" cy="5534940"/>
          <a:chOff x="197498" y="762001"/>
          <a:chExt cx="8644143" cy="5763540"/>
        </a:xfrm>
        <a:solidFill>
          <a:schemeClr val="bg2">
            <a:lumMod val="75000"/>
          </a:schemeClr>
        </a:solidFill>
      </xdr:grpSpPr>
      <xdr:sp macro="" textlink="">
        <xdr:nvSpPr>
          <xdr:cNvPr id="62" name="Flowchart: Decision 61">
            <a:extLst>
              <a:ext uri="{FF2B5EF4-FFF2-40B4-BE49-F238E27FC236}">
                <a16:creationId xmlns:a16="http://schemas.microsoft.com/office/drawing/2014/main" id="{00000000-0008-0000-0100-00003E000000}"/>
              </a:ext>
            </a:extLst>
          </xdr:cNvPr>
          <xdr:cNvSpPr/>
        </xdr:nvSpPr>
        <xdr:spPr bwMode="auto">
          <a:xfrm>
            <a:off x="6096000" y="1377654"/>
            <a:ext cx="1703784" cy="603546"/>
          </a:xfrm>
          <a:prstGeom prst="flowChartDecision">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Debit</a:t>
            </a:r>
          </a:p>
        </xdr:txBody>
      </xdr:sp>
      <xdr:grpSp>
        <xdr:nvGrpSpPr>
          <xdr:cNvPr id="67" name="Group 66">
            <a:extLst>
              <a:ext uri="{FF2B5EF4-FFF2-40B4-BE49-F238E27FC236}">
                <a16:creationId xmlns:a16="http://schemas.microsoft.com/office/drawing/2014/main" id="{00000000-0008-0000-0100-000043000000}"/>
              </a:ext>
            </a:extLst>
          </xdr:cNvPr>
          <xdr:cNvGrpSpPr/>
        </xdr:nvGrpSpPr>
        <xdr:grpSpPr>
          <a:xfrm>
            <a:off x="197498" y="762001"/>
            <a:ext cx="8644143" cy="5763540"/>
            <a:chOff x="197498" y="762001"/>
            <a:chExt cx="8644143" cy="5763540"/>
          </a:xfrm>
          <a:grpFill/>
        </xdr:grpSpPr>
        <xdr:sp macro="" textlink="">
          <xdr:nvSpPr>
            <xdr:cNvPr id="68" name="Flowchart: Decision 67">
              <a:extLst>
                <a:ext uri="{FF2B5EF4-FFF2-40B4-BE49-F238E27FC236}">
                  <a16:creationId xmlns:a16="http://schemas.microsoft.com/office/drawing/2014/main" id="{00000000-0008-0000-0100-000044000000}"/>
                </a:ext>
              </a:extLst>
            </xdr:cNvPr>
            <xdr:cNvSpPr/>
          </xdr:nvSpPr>
          <xdr:spPr bwMode="auto">
            <a:xfrm>
              <a:off x="1167101" y="1456637"/>
              <a:ext cx="1762038" cy="705766"/>
            </a:xfrm>
            <a:prstGeom prst="flowChartDecision">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Credit</a:t>
              </a:r>
            </a:p>
          </xdr:txBody>
        </xdr:sp>
        <xdr:sp macro="" textlink="">
          <xdr:nvSpPr>
            <xdr:cNvPr id="69" name="Rounded Rectangle 68">
              <a:extLst>
                <a:ext uri="{FF2B5EF4-FFF2-40B4-BE49-F238E27FC236}">
                  <a16:creationId xmlns:a16="http://schemas.microsoft.com/office/drawing/2014/main" id="{00000000-0008-0000-0100-000045000000}"/>
                </a:ext>
              </a:extLst>
            </xdr:cNvPr>
            <xdr:cNvSpPr/>
          </xdr:nvSpPr>
          <xdr:spPr bwMode="auto">
            <a:xfrm>
              <a:off x="7691384" y="3468531"/>
              <a:ext cx="1150257" cy="56316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Lost reproduction</a:t>
              </a:r>
            </a:p>
          </xdr:txBody>
        </xdr:sp>
        <xdr:sp macro="" textlink="">
          <xdr:nvSpPr>
            <xdr:cNvPr id="70" name="Rectangle 69">
              <a:extLst>
                <a:ext uri="{FF2B5EF4-FFF2-40B4-BE49-F238E27FC236}">
                  <a16:creationId xmlns:a16="http://schemas.microsoft.com/office/drawing/2014/main" id="{00000000-0008-0000-0100-000046000000}"/>
                </a:ext>
              </a:extLst>
            </xdr:cNvPr>
            <xdr:cNvSpPr/>
          </xdr:nvSpPr>
          <xdr:spPr bwMode="auto">
            <a:xfrm>
              <a:off x="3948007" y="762001"/>
              <a:ext cx="1330925" cy="419100"/>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sz="2000">
                  <a:solidFill>
                    <a:sysClr val="windowText" lastClr="000000"/>
                  </a:solidFill>
                </a:rPr>
                <a:t>Credit Due</a:t>
              </a:r>
            </a:p>
          </xdr:txBody>
        </xdr:sp>
        <xdr:sp macro="" textlink="">
          <xdr:nvSpPr>
            <xdr:cNvPr id="71" name="Rounded Rectangle 70">
              <a:extLst>
                <a:ext uri="{FF2B5EF4-FFF2-40B4-BE49-F238E27FC236}">
                  <a16:creationId xmlns:a16="http://schemas.microsoft.com/office/drawing/2014/main" id="{00000000-0008-0000-0100-000047000000}"/>
                </a:ext>
              </a:extLst>
            </xdr:cNvPr>
            <xdr:cNvSpPr/>
          </xdr:nvSpPr>
          <xdr:spPr bwMode="auto">
            <a:xfrm>
              <a:off x="1320901" y="5541477"/>
              <a:ext cx="1232312" cy="896588"/>
            </a:xfrm>
            <a:prstGeom prst="roundRect">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expected females from Summer Protection Model</a:t>
              </a:r>
            </a:p>
          </xdr:txBody>
        </xdr:sp>
        <xdr:sp macro="" textlink="">
          <xdr:nvSpPr>
            <xdr:cNvPr id="72" name="Rounded Rectangle 71">
              <a:extLst>
                <a:ext uri="{FF2B5EF4-FFF2-40B4-BE49-F238E27FC236}">
                  <a16:creationId xmlns:a16="http://schemas.microsoft.com/office/drawing/2014/main" id="{00000000-0008-0000-0100-000048000000}"/>
                </a:ext>
              </a:extLst>
            </xdr:cNvPr>
            <xdr:cNvSpPr/>
          </xdr:nvSpPr>
          <xdr:spPr bwMode="auto">
            <a:xfrm>
              <a:off x="5278932" y="3483462"/>
              <a:ext cx="1102517" cy="56316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females directly taken</a:t>
              </a:r>
            </a:p>
          </xdr:txBody>
        </xdr:sp>
        <xdr:sp macro="" textlink="">
          <xdr:nvSpPr>
            <xdr:cNvPr id="73" name="Rounded Rectangle 72">
              <a:extLst>
                <a:ext uri="{FF2B5EF4-FFF2-40B4-BE49-F238E27FC236}">
                  <a16:creationId xmlns:a16="http://schemas.microsoft.com/office/drawing/2014/main" id="{00000000-0008-0000-0100-000049000000}"/>
                </a:ext>
              </a:extLst>
            </xdr:cNvPr>
            <xdr:cNvSpPr/>
          </xdr:nvSpPr>
          <xdr:spPr bwMode="auto">
            <a:xfrm>
              <a:off x="1496862" y="2505135"/>
              <a:ext cx="1102517" cy="683566"/>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females gained</a:t>
              </a:r>
            </a:p>
          </xdr:txBody>
        </xdr:sp>
        <xdr:sp macro="" textlink="">
          <xdr:nvSpPr>
            <xdr:cNvPr id="74" name="Rounded Rectangle 73">
              <a:extLst>
                <a:ext uri="{FF2B5EF4-FFF2-40B4-BE49-F238E27FC236}">
                  <a16:creationId xmlns:a16="http://schemas.microsoft.com/office/drawing/2014/main" id="{00000000-0008-0000-0100-00004A000000}"/>
                </a:ext>
              </a:extLst>
            </xdr:cNvPr>
            <xdr:cNvSpPr/>
          </xdr:nvSpPr>
          <xdr:spPr bwMode="auto">
            <a:xfrm>
              <a:off x="3747005" y="5554177"/>
              <a:ext cx="1232312" cy="879936"/>
            </a:xfrm>
            <a:prstGeom prst="roundRect">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expected females from Summer Restoration Model</a:t>
              </a:r>
            </a:p>
          </xdr:txBody>
        </xdr:sp>
        <xdr:sp macro="" textlink="">
          <xdr:nvSpPr>
            <xdr:cNvPr id="75" name="Rounded Rectangle 74">
              <a:extLst>
                <a:ext uri="{FF2B5EF4-FFF2-40B4-BE49-F238E27FC236}">
                  <a16:creationId xmlns:a16="http://schemas.microsoft.com/office/drawing/2014/main" id="{00000000-0008-0000-0100-00004B000000}"/>
                </a:ext>
              </a:extLst>
            </xdr:cNvPr>
            <xdr:cNvSpPr/>
          </xdr:nvSpPr>
          <xdr:spPr bwMode="auto">
            <a:xfrm>
              <a:off x="2605001" y="5487668"/>
              <a:ext cx="1102517" cy="1037873"/>
            </a:xfrm>
            <a:prstGeom prst="roundRect">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expected females from Winter Protection Model</a:t>
              </a:r>
            </a:p>
          </xdr:txBody>
        </xdr:sp>
        <xdr:sp macro="" textlink="">
          <xdr:nvSpPr>
            <xdr:cNvPr id="76" name="Rounded Rectangle 75">
              <a:extLst>
                <a:ext uri="{FF2B5EF4-FFF2-40B4-BE49-F238E27FC236}">
                  <a16:creationId xmlns:a16="http://schemas.microsoft.com/office/drawing/2014/main" id="{00000000-0008-0000-0100-00004C000000}"/>
                </a:ext>
              </a:extLst>
            </xdr:cNvPr>
            <xdr:cNvSpPr/>
          </xdr:nvSpPr>
          <xdr:spPr bwMode="auto">
            <a:xfrm>
              <a:off x="227261" y="3721572"/>
              <a:ext cx="1042840" cy="581692"/>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Gained reproduction</a:t>
              </a:r>
            </a:p>
          </xdr:txBody>
        </xdr:sp>
        <xdr:sp macro="" textlink="">
          <xdr:nvSpPr>
            <xdr:cNvPr id="77" name="Rounded Rectangle 76">
              <a:extLst>
                <a:ext uri="{FF2B5EF4-FFF2-40B4-BE49-F238E27FC236}">
                  <a16:creationId xmlns:a16="http://schemas.microsoft.com/office/drawing/2014/main" id="{00000000-0008-0000-0100-00004D000000}"/>
                </a:ext>
              </a:extLst>
            </xdr:cNvPr>
            <xdr:cNvSpPr/>
          </xdr:nvSpPr>
          <xdr:spPr bwMode="auto">
            <a:xfrm>
              <a:off x="5308770" y="4592975"/>
              <a:ext cx="1042840" cy="579158"/>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External take model</a:t>
              </a:r>
            </a:p>
          </xdr:txBody>
        </xdr:sp>
        <xdr:cxnSp macro="">
          <xdr:nvCxnSpPr>
            <xdr:cNvPr id="78" name="Curved Connector 77">
              <a:extLst>
                <a:ext uri="{FF2B5EF4-FFF2-40B4-BE49-F238E27FC236}">
                  <a16:creationId xmlns:a16="http://schemas.microsoft.com/office/drawing/2014/main" id="{00000000-0008-0000-0100-00004E000000}"/>
                </a:ext>
              </a:extLst>
            </xdr:cNvPr>
            <xdr:cNvCxnSpPr>
              <a:stCxn id="68" idx="0"/>
              <a:endCxn id="70" idx="2"/>
            </xdr:cNvCxnSpPr>
          </xdr:nvCxnSpPr>
          <xdr:spPr bwMode="auto">
            <a:xfrm rot="5400000" flipH="1" flipV="1">
              <a:off x="3193027" y="36194"/>
              <a:ext cx="275536" cy="2565350"/>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79" name="Curved Connector 78">
              <a:extLst>
                <a:ext uri="{FF2B5EF4-FFF2-40B4-BE49-F238E27FC236}">
                  <a16:creationId xmlns:a16="http://schemas.microsoft.com/office/drawing/2014/main" id="{00000000-0008-0000-0100-00004F000000}"/>
                </a:ext>
              </a:extLst>
            </xdr:cNvPr>
            <xdr:cNvCxnSpPr>
              <a:stCxn id="73" idx="0"/>
              <a:endCxn id="68" idx="2"/>
            </xdr:cNvCxnSpPr>
          </xdr:nvCxnSpPr>
          <xdr:spPr bwMode="auto">
            <a:xfrm rot="16200000" flipV="1">
              <a:off x="1876755" y="2333768"/>
              <a:ext cx="342732" cy="1"/>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0" name="Curved Connector 79">
              <a:extLst>
                <a:ext uri="{FF2B5EF4-FFF2-40B4-BE49-F238E27FC236}">
                  <a16:creationId xmlns:a16="http://schemas.microsoft.com/office/drawing/2014/main" id="{00000000-0008-0000-0100-000050000000}"/>
                </a:ext>
              </a:extLst>
            </xdr:cNvPr>
            <xdr:cNvCxnSpPr>
              <a:stCxn id="72" idx="0"/>
              <a:endCxn id="90" idx="2"/>
            </xdr:cNvCxnSpPr>
          </xdr:nvCxnSpPr>
          <xdr:spPr bwMode="auto">
            <a:xfrm rot="5400000" flipH="1" flipV="1">
              <a:off x="6202252" y="2728297"/>
              <a:ext cx="383104" cy="1127226"/>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1" name="Curved Connector 80">
              <a:extLst>
                <a:ext uri="{FF2B5EF4-FFF2-40B4-BE49-F238E27FC236}">
                  <a16:creationId xmlns:a16="http://schemas.microsoft.com/office/drawing/2014/main" id="{00000000-0008-0000-0100-000051000000}"/>
                </a:ext>
              </a:extLst>
            </xdr:cNvPr>
            <xdr:cNvCxnSpPr>
              <a:stCxn id="69" idx="0"/>
              <a:endCxn id="90" idx="2"/>
            </xdr:cNvCxnSpPr>
          </xdr:nvCxnSpPr>
          <xdr:spPr bwMode="auto">
            <a:xfrm rot="16200000" flipV="1">
              <a:off x="7427879" y="2629897"/>
              <a:ext cx="368173" cy="1309096"/>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2" name="Curved Connector 81">
              <a:extLst>
                <a:ext uri="{FF2B5EF4-FFF2-40B4-BE49-F238E27FC236}">
                  <a16:creationId xmlns:a16="http://schemas.microsoft.com/office/drawing/2014/main" id="{00000000-0008-0000-0100-000052000000}"/>
                </a:ext>
              </a:extLst>
            </xdr:cNvPr>
            <xdr:cNvCxnSpPr>
              <a:stCxn id="71" idx="0"/>
              <a:endCxn id="87" idx="2"/>
            </xdr:cNvCxnSpPr>
          </xdr:nvCxnSpPr>
          <xdr:spPr bwMode="auto">
            <a:xfrm rot="5400000" flipH="1" flipV="1">
              <a:off x="2004370" y="4395210"/>
              <a:ext cx="1078955" cy="1213581"/>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3" name="Curved Connector 82">
              <a:extLst>
                <a:ext uri="{FF2B5EF4-FFF2-40B4-BE49-F238E27FC236}">
                  <a16:creationId xmlns:a16="http://schemas.microsoft.com/office/drawing/2014/main" id="{00000000-0008-0000-0100-000053000000}"/>
                </a:ext>
              </a:extLst>
            </xdr:cNvPr>
            <xdr:cNvCxnSpPr>
              <a:stCxn id="75" idx="0"/>
              <a:endCxn id="87" idx="2"/>
            </xdr:cNvCxnSpPr>
          </xdr:nvCxnSpPr>
          <xdr:spPr bwMode="auto">
            <a:xfrm rot="16200000" flipV="1">
              <a:off x="2640876" y="4972284"/>
              <a:ext cx="1025146" cy="5622"/>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4" name="Curved Connector 83">
              <a:extLst>
                <a:ext uri="{FF2B5EF4-FFF2-40B4-BE49-F238E27FC236}">
                  <a16:creationId xmlns:a16="http://schemas.microsoft.com/office/drawing/2014/main" id="{00000000-0008-0000-0100-000054000000}"/>
                </a:ext>
              </a:extLst>
            </xdr:cNvPr>
            <xdr:cNvCxnSpPr>
              <a:stCxn id="74" idx="0"/>
              <a:endCxn id="87" idx="2"/>
            </xdr:cNvCxnSpPr>
          </xdr:nvCxnSpPr>
          <xdr:spPr bwMode="auto">
            <a:xfrm rot="16200000" flipV="1">
              <a:off x="3211073" y="4402088"/>
              <a:ext cx="1091655" cy="1212523"/>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5" name="Curved Connector 84">
              <a:extLst>
                <a:ext uri="{FF2B5EF4-FFF2-40B4-BE49-F238E27FC236}">
                  <a16:creationId xmlns:a16="http://schemas.microsoft.com/office/drawing/2014/main" id="{00000000-0008-0000-0100-000055000000}"/>
                </a:ext>
              </a:extLst>
            </xdr:cNvPr>
            <xdr:cNvCxnSpPr>
              <a:stCxn id="77" idx="0"/>
              <a:endCxn id="72" idx="2"/>
            </xdr:cNvCxnSpPr>
          </xdr:nvCxnSpPr>
          <xdr:spPr bwMode="auto">
            <a:xfrm rot="5400000" flipH="1" flipV="1">
              <a:off x="5557016" y="4319801"/>
              <a:ext cx="546348" cy="1"/>
            </a:xfrm>
            <a:prstGeom prst="curvedConnector3">
              <a:avLst>
                <a:gd name="adj1" fmla="val 50000"/>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6" name="Curved Connector 85">
              <a:extLst>
                <a:ext uri="{FF2B5EF4-FFF2-40B4-BE49-F238E27FC236}">
                  <a16:creationId xmlns:a16="http://schemas.microsoft.com/office/drawing/2014/main" id="{00000000-0008-0000-0100-000056000000}"/>
                </a:ext>
              </a:extLst>
            </xdr:cNvPr>
            <xdr:cNvCxnSpPr>
              <a:stCxn id="62" idx="0"/>
              <a:endCxn id="70" idx="2"/>
            </xdr:cNvCxnSpPr>
          </xdr:nvCxnSpPr>
          <xdr:spPr bwMode="auto">
            <a:xfrm rot="16200000" flipV="1">
              <a:off x="5682405" y="112167"/>
              <a:ext cx="196553" cy="2334422"/>
            </a:xfrm>
            <a:prstGeom prst="curvedConnector3">
              <a:avLst>
                <a:gd name="adj1" fmla="val 50000"/>
              </a:avLst>
            </a:prstGeom>
            <a:grpFill/>
            <a:ln w="1905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7" name="Rounded Rectangle 86">
              <a:extLst>
                <a:ext uri="{FF2B5EF4-FFF2-40B4-BE49-F238E27FC236}">
                  <a16:creationId xmlns:a16="http://schemas.microsoft.com/office/drawing/2014/main" id="{00000000-0008-0000-0100-000057000000}"/>
                </a:ext>
              </a:extLst>
            </xdr:cNvPr>
            <xdr:cNvSpPr/>
          </xdr:nvSpPr>
          <xdr:spPr bwMode="auto">
            <a:xfrm>
              <a:off x="2599379" y="3740115"/>
              <a:ext cx="1102517" cy="722407"/>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Total expected # of adult females </a:t>
              </a:r>
            </a:p>
          </xdr:txBody>
        </xdr:sp>
        <xdr:cxnSp macro="">
          <xdr:nvCxnSpPr>
            <xdr:cNvPr id="88" name="Curved Connector 87">
              <a:extLst>
                <a:ext uri="{FF2B5EF4-FFF2-40B4-BE49-F238E27FC236}">
                  <a16:creationId xmlns:a16="http://schemas.microsoft.com/office/drawing/2014/main" id="{00000000-0008-0000-0100-000058000000}"/>
                </a:ext>
              </a:extLst>
            </xdr:cNvPr>
            <xdr:cNvCxnSpPr>
              <a:stCxn id="76" idx="0"/>
              <a:endCxn id="73" idx="2"/>
            </xdr:cNvCxnSpPr>
          </xdr:nvCxnSpPr>
          <xdr:spPr>
            <a:xfrm rot="5400000" flipH="1" flipV="1">
              <a:off x="1131966" y="2805417"/>
              <a:ext cx="532871" cy="1299440"/>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89" name="Curved Connector 88">
              <a:extLst>
                <a:ext uri="{FF2B5EF4-FFF2-40B4-BE49-F238E27FC236}">
                  <a16:creationId xmlns:a16="http://schemas.microsoft.com/office/drawing/2014/main" id="{00000000-0008-0000-0100-000059000000}"/>
                </a:ext>
              </a:extLst>
            </xdr:cNvPr>
            <xdr:cNvCxnSpPr>
              <a:stCxn id="87" idx="0"/>
              <a:endCxn id="73" idx="2"/>
            </xdr:cNvCxnSpPr>
          </xdr:nvCxnSpPr>
          <xdr:spPr>
            <a:xfrm rot="16200000" flipV="1">
              <a:off x="2323673" y="2913149"/>
              <a:ext cx="551414" cy="1102517"/>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0" name="Rounded Rectangle 89">
              <a:extLst>
                <a:ext uri="{FF2B5EF4-FFF2-40B4-BE49-F238E27FC236}">
                  <a16:creationId xmlns:a16="http://schemas.microsoft.com/office/drawing/2014/main" id="{00000000-0008-0000-0100-00005A000000}"/>
                </a:ext>
              </a:extLst>
            </xdr:cNvPr>
            <xdr:cNvSpPr/>
          </xdr:nvSpPr>
          <xdr:spPr bwMode="auto">
            <a:xfrm>
              <a:off x="6406158" y="2416792"/>
              <a:ext cx="1102517" cy="683566"/>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  females lost</a:t>
              </a:r>
            </a:p>
          </xdr:txBody>
        </xdr:sp>
        <xdr:cxnSp macro="">
          <xdr:nvCxnSpPr>
            <xdr:cNvPr id="91" name="Curved Connector 90">
              <a:extLst>
                <a:ext uri="{FF2B5EF4-FFF2-40B4-BE49-F238E27FC236}">
                  <a16:creationId xmlns:a16="http://schemas.microsoft.com/office/drawing/2014/main" id="{00000000-0008-0000-0100-00005B000000}"/>
                </a:ext>
              </a:extLst>
            </xdr:cNvPr>
            <xdr:cNvCxnSpPr>
              <a:stCxn id="90" idx="0"/>
              <a:endCxn id="62" idx="2"/>
            </xdr:cNvCxnSpPr>
          </xdr:nvCxnSpPr>
          <xdr:spPr>
            <a:xfrm rot="16200000" flipV="1">
              <a:off x="6734859" y="2194233"/>
              <a:ext cx="435592" cy="9525"/>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2" name="Rounded Rectangle 91">
              <a:extLst>
                <a:ext uri="{FF2B5EF4-FFF2-40B4-BE49-F238E27FC236}">
                  <a16:creationId xmlns:a16="http://schemas.microsoft.com/office/drawing/2014/main" id="{00000000-0008-0000-0100-00005C000000}"/>
                </a:ext>
              </a:extLst>
            </xdr:cNvPr>
            <xdr:cNvSpPr/>
          </xdr:nvSpPr>
          <xdr:spPr bwMode="auto">
            <a:xfrm>
              <a:off x="197498" y="4845115"/>
              <a:ext cx="1095946" cy="554523"/>
            </a:xfrm>
            <a:prstGeom prst="roundRec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Demographic (credit)  model</a:t>
              </a:r>
            </a:p>
          </xdr:txBody>
        </xdr:sp>
        <xdr:sp macro="" textlink="">
          <xdr:nvSpPr>
            <xdr:cNvPr id="93" name="Rounded Rectangle 92">
              <a:extLst>
                <a:ext uri="{FF2B5EF4-FFF2-40B4-BE49-F238E27FC236}">
                  <a16:creationId xmlns:a16="http://schemas.microsoft.com/office/drawing/2014/main" id="{00000000-0008-0000-0100-00005D000000}"/>
                </a:ext>
              </a:extLst>
            </xdr:cNvPr>
            <xdr:cNvSpPr/>
          </xdr:nvSpPr>
          <xdr:spPr bwMode="auto">
            <a:xfrm>
              <a:off x="7719340" y="4481092"/>
              <a:ext cx="1095946" cy="554523"/>
            </a:xfrm>
            <a:prstGeom prst="roundRec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n-US">
                  <a:solidFill>
                    <a:sysClr val="windowText" lastClr="000000"/>
                  </a:solidFill>
                </a:rPr>
                <a:t>Demographic (debit) model</a:t>
              </a:r>
            </a:p>
          </xdr:txBody>
        </xdr:sp>
        <xdr:cxnSp macro="">
          <xdr:nvCxnSpPr>
            <xdr:cNvPr id="94" name="Curved Connector 93">
              <a:extLst>
                <a:ext uri="{FF2B5EF4-FFF2-40B4-BE49-F238E27FC236}">
                  <a16:creationId xmlns:a16="http://schemas.microsoft.com/office/drawing/2014/main" id="{00000000-0008-0000-0100-00005E000000}"/>
                </a:ext>
              </a:extLst>
            </xdr:cNvPr>
            <xdr:cNvCxnSpPr>
              <a:stCxn id="92" idx="0"/>
              <a:endCxn id="76" idx="2"/>
            </xdr:cNvCxnSpPr>
          </xdr:nvCxnSpPr>
          <xdr:spPr>
            <a:xfrm rot="5400000" flipH="1" flipV="1">
              <a:off x="476151" y="4572585"/>
              <a:ext cx="541851" cy="3210"/>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cxnSp macro="">
          <xdr:nvCxnSpPr>
            <xdr:cNvPr id="95" name="Curved Connector 94">
              <a:extLst>
                <a:ext uri="{FF2B5EF4-FFF2-40B4-BE49-F238E27FC236}">
                  <a16:creationId xmlns:a16="http://schemas.microsoft.com/office/drawing/2014/main" id="{00000000-0008-0000-0100-00005F000000}"/>
                </a:ext>
              </a:extLst>
            </xdr:cNvPr>
            <xdr:cNvCxnSpPr>
              <a:stCxn id="93" idx="0"/>
              <a:endCxn id="69" idx="2"/>
            </xdr:cNvCxnSpPr>
          </xdr:nvCxnSpPr>
          <xdr:spPr>
            <a:xfrm rot="16200000" flipV="1">
              <a:off x="8042215" y="4255994"/>
              <a:ext cx="449396" cy="800"/>
            </a:xfrm>
            <a:prstGeom prst="curvedConnector3">
              <a:avLst/>
            </a:prstGeom>
            <a:grpFill/>
            <a:ln w="19050">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szymanski/Downloads/2013/DOCUME~1/JSZYMA~1/LOCALS~1/Temp/notes774206/BatModel-111003/Bats-Credi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szymanski/Documents/My%20files/Wind/Regional%20HCP/Mitigation/REA/Other%20Bats/LBB%20REA%20Model_user_v1_1Dec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ife Stages"/>
      <sheetName val="Maternity Roost Project"/>
      <sheetName val="Female Gain"/>
      <sheetName val="Indirect Gain"/>
      <sheetName val="2nd Generation"/>
      <sheetName val="Notes"/>
      <sheetName val="Sheet2"/>
    </sheetNames>
    <sheetDataSet>
      <sheetData sheetId="0">
        <row r="5">
          <cell r="D5">
            <v>2012</v>
          </cell>
        </row>
        <row r="6">
          <cell r="D6">
            <v>2012</v>
          </cell>
        </row>
        <row r="8">
          <cell r="D8">
            <v>2012</v>
          </cell>
        </row>
        <row r="9">
          <cell r="D9">
            <v>1.03</v>
          </cell>
        </row>
      </sheetData>
      <sheetData sheetId="1" refreshError="1"/>
      <sheetData sheetId="2">
        <row r="6">
          <cell r="D6">
            <v>0.5</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nceptual Model"/>
      <sheetName val="Mit-WinHabPrt"/>
      <sheetName val="Mit-SumHabPrt"/>
      <sheetName val="Mit-SumHabRst"/>
      <sheetName val="Impacts"/>
      <sheetName val="Services"/>
      <sheetName val="Parameter Se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Q62"/>
  <sheetViews>
    <sheetView tabSelected="1" workbookViewId="0">
      <selection activeCell="F19" sqref="F19"/>
    </sheetView>
  </sheetViews>
  <sheetFormatPr defaultColWidth="9.109375" defaultRowHeight="14.4" x14ac:dyDescent="0.3"/>
  <cols>
    <col min="1" max="1" width="9.109375" style="31"/>
    <col min="2" max="2" width="17.33203125" style="31" customWidth="1"/>
    <col min="3" max="3" width="9.109375" style="31"/>
    <col min="4" max="4" width="11" style="31" customWidth="1"/>
    <col min="5" max="16384" width="9.109375" style="31"/>
  </cols>
  <sheetData>
    <row r="2" spans="2:17" x14ac:dyDescent="0.3">
      <c r="B2" s="110" t="s">
        <v>158</v>
      </c>
      <c r="C2" s="31" t="s">
        <v>244</v>
      </c>
    </row>
    <row r="3" spans="2:17" x14ac:dyDescent="0.3">
      <c r="B3" s="110" t="s">
        <v>129</v>
      </c>
      <c r="C3" s="31" t="s">
        <v>224</v>
      </c>
    </row>
    <row r="4" spans="2:17" x14ac:dyDescent="0.3">
      <c r="B4" s="110"/>
    </row>
    <row r="5" spans="2:17" x14ac:dyDescent="0.3">
      <c r="B5" s="110" t="s">
        <v>149</v>
      </c>
      <c r="C5" s="632" t="s">
        <v>150</v>
      </c>
      <c r="D5" s="632"/>
      <c r="E5" s="632"/>
      <c r="F5" s="632"/>
      <c r="G5" s="632"/>
      <c r="H5" s="632"/>
      <c r="I5" s="632"/>
      <c r="J5" s="632"/>
      <c r="K5" s="632"/>
      <c r="L5" s="632"/>
      <c r="M5" s="632"/>
      <c r="N5" s="632"/>
      <c r="O5" s="632"/>
      <c r="P5" s="632"/>
      <c r="Q5" s="632"/>
    </row>
    <row r="6" spans="2:17" x14ac:dyDescent="0.3">
      <c r="B6" s="110"/>
      <c r="C6" s="632"/>
      <c r="D6" s="632"/>
      <c r="E6" s="632"/>
      <c r="F6" s="632"/>
      <c r="G6" s="632"/>
      <c r="H6" s="632"/>
      <c r="I6" s="632"/>
      <c r="J6" s="632"/>
      <c r="K6" s="632"/>
      <c r="L6" s="632"/>
      <c r="M6" s="632"/>
      <c r="N6" s="632"/>
      <c r="O6" s="632"/>
      <c r="P6" s="632"/>
      <c r="Q6" s="632"/>
    </row>
    <row r="7" spans="2:17" x14ac:dyDescent="0.3">
      <c r="B7" s="110"/>
      <c r="C7" s="282"/>
      <c r="D7" s="282"/>
      <c r="E7" s="282"/>
      <c r="F7" s="282"/>
      <c r="G7" s="282"/>
      <c r="H7" s="282"/>
      <c r="I7" s="282"/>
      <c r="J7" s="282"/>
      <c r="K7" s="282"/>
      <c r="L7" s="282"/>
      <c r="M7" s="282"/>
      <c r="N7" s="282"/>
      <c r="O7" s="282"/>
      <c r="P7" s="282"/>
      <c r="Q7" s="282"/>
    </row>
    <row r="8" spans="2:17" x14ac:dyDescent="0.3">
      <c r="B8" s="110" t="s">
        <v>147</v>
      </c>
      <c r="C8" s="31" t="s">
        <v>148</v>
      </c>
    </row>
    <row r="9" spans="2:17" x14ac:dyDescent="0.3">
      <c r="B9" s="110"/>
    </row>
    <row r="10" spans="2:17" s="91" customFormat="1" x14ac:dyDescent="0.3"/>
    <row r="11" spans="2:17" s="91" customFormat="1" x14ac:dyDescent="0.3"/>
    <row r="12" spans="2:17" s="91" customFormat="1" x14ac:dyDescent="0.3"/>
    <row r="13" spans="2:17" s="91" customFormat="1" x14ac:dyDescent="0.3"/>
    <row r="14" spans="2:17" s="91" customFormat="1" x14ac:dyDescent="0.3"/>
    <row r="15" spans="2:17" s="91" customFormat="1" x14ac:dyDescent="0.3">
      <c r="L15" s="4"/>
    </row>
    <row r="16" spans="2:17" s="91" customFormat="1" x14ac:dyDescent="0.3"/>
    <row r="17" spans="2:3" s="91" customFormat="1" x14ac:dyDescent="0.3">
      <c r="B17" s="4"/>
    </row>
    <row r="18" spans="2:3" s="91" customFormat="1" x14ac:dyDescent="0.3"/>
    <row r="19" spans="2:3" s="91" customFormat="1" x14ac:dyDescent="0.3">
      <c r="C19" s="92"/>
    </row>
    <row r="20" spans="2:3" s="91" customFormat="1" x14ac:dyDescent="0.3"/>
    <row r="21" spans="2:3" s="91" customFormat="1" x14ac:dyDescent="0.3"/>
    <row r="22" spans="2:3" s="91" customFormat="1" x14ac:dyDescent="0.3"/>
    <row r="23" spans="2:3" s="91" customFormat="1" x14ac:dyDescent="0.3"/>
    <row r="24" spans="2:3" s="91" customFormat="1" x14ac:dyDescent="0.3"/>
    <row r="25" spans="2:3" s="91" customFormat="1" x14ac:dyDescent="0.3">
      <c r="B25" s="263"/>
    </row>
    <row r="26" spans="2:3" s="91" customFormat="1" x14ac:dyDescent="0.3"/>
    <row r="27" spans="2:3" s="91" customFormat="1" x14ac:dyDescent="0.3"/>
    <row r="28" spans="2:3" s="91" customFormat="1" x14ac:dyDescent="0.3"/>
    <row r="29" spans="2:3" s="91" customFormat="1" x14ac:dyDescent="0.3"/>
    <row r="30" spans="2:3" s="91" customFormat="1" x14ac:dyDescent="0.3"/>
    <row r="31" spans="2:3" s="91" customFormat="1" x14ac:dyDescent="0.3"/>
    <row r="32" spans="2:3" s="91" customFormat="1" x14ac:dyDescent="0.3">
      <c r="B32" s="263"/>
    </row>
    <row r="33" spans="2:2" s="91" customFormat="1" x14ac:dyDescent="0.3"/>
    <row r="34" spans="2:2" s="91" customFormat="1" x14ac:dyDescent="0.3"/>
    <row r="35" spans="2:2" s="91" customFormat="1" x14ac:dyDescent="0.3"/>
    <row r="36" spans="2:2" s="91" customFormat="1" x14ac:dyDescent="0.3"/>
    <row r="37" spans="2:2" s="91" customFormat="1" x14ac:dyDescent="0.3"/>
    <row r="38" spans="2:2" s="91" customFormat="1" x14ac:dyDescent="0.3">
      <c r="B38" s="263"/>
    </row>
    <row r="39" spans="2:2" s="91" customFormat="1" x14ac:dyDescent="0.3"/>
    <row r="40" spans="2:2" s="91" customFormat="1" x14ac:dyDescent="0.3"/>
    <row r="41" spans="2:2" s="91" customFormat="1" x14ac:dyDescent="0.3"/>
    <row r="42" spans="2:2" s="91" customFormat="1" x14ac:dyDescent="0.3"/>
    <row r="43" spans="2:2" s="91" customFormat="1" x14ac:dyDescent="0.3"/>
    <row r="44" spans="2:2" s="91" customFormat="1" x14ac:dyDescent="0.3"/>
    <row r="45" spans="2:2" s="91" customFormat="1" x14ac:dyDescent="0.3"/>
    <row r="46" spans="2:2" s="91" customFormat="1" x14ac:dyDescent="0.3"/>
    <row r="47" spans="2:2" s="91" customFormat="1" x14ac:dyDescent="0.3"/>
    <row r="48" spans="2:2" s="91" customFormat="1" x14ac:dyDescent="0.3"/>
    <row r="49" s="91" customFormat="1" x14ac:dyDescent="0.3"/>
    <row r="50" s="91" customFormat="1" x14ac:dyDescent="0.3"/>
    <row r="51" s="91" customFormat="1" x14ac:dyDescent="0.3"/>
    <row r="52" s="91" customFormat="1" x14ac:dyDescent="0.3"/>
    <row r="53" s="91" customFormat="1" x14ac:dyDescent="0.3"/>
    <row r="54" s="91" customFormat="1" x14ac:dyDescent="0.3"/>
    <row r="55" s="91" customFormat="1" x14ac:dyDescent="0.3"/>
    <row r="56" s="91" customFormat="1" x14ac:dyDescent="0.3"/>
    <row r="57" s="91" customFormat="1" x14ac:dyDescent="0.3"/>
    <row r="58" s="91" customFormat="1" x14ac:dyDescent="0.3"/>
    <row r="59" s="91" customFormat="1" x14ac:dyDescent="0.3"/>
    <row r="60" s="91" customFormat="1" x14ac:dyDescent="0.3"/>
    <row r="61" s="91" customFormat="1" x14ac:dyDescent="0.3"/>
    <row r="62" s="91" customFormat="1" x14ac:dyDescent="0.3"/>
  </sheetData>
  <mergeCells count="1">
    <mergeCell ref="C5:Q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
  <sheetViews>
    <sheetView zoomScale="75" zoomScaleNormal="75" workbookViewId="0">
      <selection activeCell="O41" sqref="O41"/>
    </sheetView>
  </sheetViews>
  <sheetFormatPr defaultRowHeight="14.4" x14ac:dyDescent="0.3"/>
  <sheetData/>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AD184"/>
  <sheetViews>
    <sheetView zoomScaleNormal="100" workbookViewId="0">
      <selection activeCell="C4" sqref="C4:C5"/>
    </sheetView>
  </sheetViews>
  <sheetFormatPr defaultColWidth="9.109375" defaultRowHeight="14.4" x14ac:dyDescent="0.3"/>
  <cols>
    <col min="1" max="1" width="9.109375" style="411"/>
    <col min="2" max="2" width="57.6640625" style="396" customWidth="1"/>
    <col min="3" max="3" width="17.33203125" style="396" customWidth="1"/>
    <col min="4" max="4" width="13.109375" style="396" customWidth="1"/>
    <col min="5" max="16" width="9.109375" style="411"/>
    <col min="17" max="17" width="45.5546875" style="411" customWidth="1"/>
    <col min="18" max="30" width="9.109375" style="411"/>
    <col min="31" max="16384" width="9.109375" style="396"/>
  </cols>
  <sheetData>
    <row r="1" spans="1:30" ht="15.6" x14ac:dyDescent="0.3">
      <c r="B1" s="174"/>
      <c r="C1" s="180"/>
      <c r="D1" s="283"/>
      <c r="E1" s="412"/>
    </row>
    <row r="2" spans="1:30" ht="18" x14ac:dyDescent="0.35">
      <c r="B2" s="164" t="s">
        <v>33</v>
      </c>
      <c r="C2" s="181"/>
      <c r="D2" s="182"/>
      <c r="E2" s="406"/>
    </row>
    <row r="3" spans="1:30" s="157" customFormat="1" ht="15.6" x14ac:dyDescent="0.3">
      <c r="A3" s="487"/>
      <c r="B3" s="183" t="s">
        <v>123</v>
      </c>
      <c r="C3" s="184"/>
      <c r="D3" s="185"/>
      <c r="E3" s="486"/>
      <c r="F3" s="437"/>
      <c r="G3" s="487"/>
      <c r="H3" s="487"/>
      <c r="I3" s="487"/>
      <c r="J3" s="487"/>
      <c r="K3" s="487"/>
      <c r="L3" s="487"/>
      <c r="M3" s="487"/>
      <c r="N3" s="487"/>
      <c r="O3" s="487"/>
      <c r="P3" s="487"/>
      <c r="Q3" s="487"/>
      <c r="R3" s="487"/>
      <c r="S3" s="487"/>
      <c r="T3" s="487"/>
      <c r="U3" s="487"/>
      <c r="V3" s="487"/>
      <c r="W3" s="487"/>
      <c r="X3" s="487"/>
      <c r="Y3" s="487"/>
      <c r="Z3" s="487"/>
      <c r="AA3" s="487"/>
      <c r="AB3" s="487"/>
      <c r="AC3" s="487"/>
      <c r="AD3" s="487"/>
    </row>
    <row r="4" spans="1:30" ht="15.6" x14ac:dyDescent="0.3">
      <c r="B4" s="19" t="s">
        <v>16</v>
      </c>
      <c r="C4" s="269"/>
      <c r="D4" s="163"/>
      <c r="E4" s="406"/>
      <c r="F4" s="423"/>
    </row>
    <row r="5" spans="1:30" ht="15.6" x14ac:dyDescent="0.3">
      <c r="B5" s="161" t="s">
        <v>160</v>
      </c>
      <c r="C5" s="186"/>
      <c r="D5" s="162"/>
      <c r="E5" s="423"/>
      <c r="F5" s="439"/>
      <c r="H5" s="600"/>
    </row>
    <row r="6" spans="1:30" ht="15.6" x14ac:dyDescent="0.3">
      <c r="B6" s="159" t="s">
        <v>125</v>
      </c>
      <c r="C6" s="187"/>
      <c r="D6" s="158"/>
      <c r="E6" s="423"/>
      <c r="F6" s="488"/>
    </row>
    <row r="7" spans="1:30" ht="15.6" x14ac:dyDescent="0.3">
      <c r="B7" s="326" t="s">
        <v>51</v>
      </c>
      <c r="C7" s="188">
        <v>0</v>
      </c>
      <c r="D7" s="160"/>
      <c r="E7" s="423"/>
      <c r="F7" s="488"/>
    </row>
    <row r="8" spans="1:30" ht="15.6" x14ac:dyDescent="0.3">
      <c r="B8" s="388" t="s">
        <v>193</v>
      </c>
      <c r="C8" s="189" t="s">
        <v>22</v>
      </c>
      <c r="D8" s="588">
        <f>IF(C8="yes",C7*VLOOKUP(C8,B27:C30,2),0)</f>
        <v>0</v>
      </c>
      <c r="E8" s="423"/>
      <c r="F8" s="489"/>
    </row>
    <row r="9" spans="1:30" ht="15.6" x14ac:dyDescent="0.3">
      <c r="B9" s="388" t="s">
        <v>198</v>
      </c>
      <c r="C9" s="189" t="s">
        <v>22</v>
      </c>
      <c r="D9" s="588">
        <f>IF(C9="yes",(D10*D11*C7),0)</f>
        <v>0</v>
      </c>
      <c r="E9" s="423"/>
      <c r="F9" s="613"/>
      <c r="H9" s="175"/>
      <c r="I9" s="175"/>
      <c r="J9" s="175"/>
    </row>
    <row r="10" spans="1:30" ht="15.6" x14ac:dyDescent="0.3">
      <c r="B10" s="337" t="s">
        <v>17</v>
      </c>
      <c r="C10" s="189" t="s">
        <v>200</v>
      </c>
      <c r="D10" s="614">
        <f>VLOOKUP(C10,B25:C27,2,0)</f>
        <v>0.5</v>
      </c>
      <c r="E10" s="423"/>
      <c r="F10" s="489"/>
    </row>
    <row r="11" spans="1:30" ht="15.6" x14ac:dyDescent="0.3">
      <c r="B11" s="337" t="s">
        <v>188</v>
      </c>
      <c r="C11" s="189" t="s">
        <v>191</v>
      </c>
      <c r="D11" s="614">
        <f>VLOOKUP(C11,B34:C36,2,0)</f>
        <v>0.55000000000000004</v>
      </c>
      <c r="E11" s="423"/>
      <c r="F11" s="587"/>
    </row>
    <row r="12" spans="1:30" ht="15.6" x14ac:dyDescent="0.3">
      <c r="B12" s="325" t="s">
        <v>54</v>
      </c>
      <c r="C12" s="189" t="s">
        <v>21</v>
      </c>
      <c r="D12" s="588">
        <f>IF(C12="no", 0, C7*D13*D18*D19)</f>
        <v>0</v>
      </c>
      <c r="E12" s="423"/>
      <c r="F12" s="490"/>
      <c r="G12" s="491"/>
      <c r="H12" s="491"/>
      <c r="I12" s="491"/>
      <c r="J12" s="491"/>
      <c r="K12" s="491"/>
      <c r="L12" s="491"/>
      <c r="M12" s="491"/>
      <c r="N12" s="491"/>
      <c r="O12" s="491"/>
      <c r="P12" s="491"/>
    </row>
    <row r="13" spans="1:30" ht="15.6" x14ac:dyDescent="0.3">
      <c r="B13" s="19" t="s">
        <v>201</v>
      </c>
      <c r="C13" s="190"/>
      <c r="D13" s="588">
        <f>D14*D15*IF(D16=0,IF(D17=0,0,1),1)</f>
        <v>1</v>
      </c>
      <c r="E13" s="451"/>
      <c r="F13" s="491"/>
      <c r="G13" s="491"/>
      <c r="H13" s="491"/>
      <c r="I13" s="491"/>
      <c r="J13" s="491"/>
      <c r="K13" s="491"/>
      <c r="L13" s="491"/>
      <c r="M13" s="491"/>
      <c r="N13" s="491"/>
      <c r="O13" s="491"/>
      <c r="P13" s="491"/>
    </row>
    <row r="14" spans="1:30" ht="15.6" x14ac:dyDescent="0.3">
      <c r="B14" s="19" t="s">
        <v>184</v>
      </c>
      <c r="C14" s="270" t="s">
        <v>21</v>
      </c>
      <c r="D14" s="588">
        <f>VLOOKUP(C14,B43:C44,2,0)</f>
        <v>1</v>
      </c>
      <c r="E14" s="424"/>
      <c r="F14" s="491"/>
      <c r="G14" s="491"/>
      <c r="H14" s="491"/>
      <c r="I14" s="491"/>
      <c r="J14" s="491"/>
      <c r="K14" s="491"/>
      <c r="L14" s="491"/>
      <c r="M14" s="491"/>
      <c r="N14" s="491"/>
      <c r="O14" s="491"/>
      <c r="P14" s="491"/>
    </row>
    <row r="15" spans="1:30" ht="15.6" x14ac:dyDescent="0.3">
      <c r="B15" s="20" t="s">
        <v>56</v>
      </c>
      <c r="C15" s="270" t="s">
        <v>21</v>
      </c>
      <c r="D15" s="588">
        <f>VLOOKUP(C15,B47:C48,2,0)</f>
        <v>1</v>
      </c>
      <c r="E15" s="451"/>
      <c r="F15" s="491"/>
      <c r="G15" s="491"/>
      <c r="H15" s="491"/>
      <c r="I15" s="491"/>
      <c r="J15" s="491"/>
      <c r="K15" s="491"/>
      <c r="L15" s="491"/>
      <c r="M15" s="491"/>
      <c r="N15" s="491"/>
      <c r="O15" s="491"/>
      <c r="P15" s="491"/>
    </row>
    <row r="16" spans="1:30" ht="15.6" x14ac:dyDescent="0.3">
      <c r="B16" s="19" t="s">
        <v>20</v>
      </c>
      <c r="C16" s="270" t="s">
        <v>21</v>
      </c>
      <c r="D16" s="588">
        <f>VLOOKUP(C16,B51:C52,2,0)</f>
        <v>1</v>
      </c>
      <c r="E16" s="455"/>
      <c r="F16" s="491"/>
      <c r="G16" s="491"/>
      <c r="H16" s="491"/>
      <c r="I16" s="491"/>
      <c r="J16" s="491"/>
      <c r="K16" s="491"/>
      <c r="L16" s="491"/>
      <c r="M16" s="491"/>
      <c r="N16" s="491"/>
      <c r="O16" s="491"/>
      <c r="P16" s="491"/>
    </row>
    <row r="17" spans="1:30" ht="15.6" x14ac:dyDescent="0.3">
      <c r="B17" s="19" t="s">
        <v>52</v>
      </c>
      <c r="C17" s="270" t="s">
        <v>22</v>
      </c>
      <c r="D17" s="588">
        <f>VLOOKUP(C17,B55:C56,2,0)</f>
        <v>0</v>
      </c>
      <c r="E17" s="451"/>
      <c r="F17" s="488"/>
    </row>
    <row r="18" spans="1:30" ht="15.6" x14ac:dyDescent="0.3">
      <c r="B18" s="19" t="s">
        <v>225</v>
      </c>
      <c r="C18" s="586" t="s">
        <v>42</v>
      </c>
      <c r="D18" s="588">
        <f>IF(D15=0,0,(VLOOKUP(C18,B59:C62,2,0)))</f>
        <v>1</v>
      </c>
      <c r="E18" s="424"/>
      <c r="F18" s="406"/>
      <c r="G18" s="488"/>
    </row>
    <row r="19" spans="1:30" x14ac:dyDescent="0.3">
      <c r="B19" s="584" t="s">
        <v>226</v>
      </c>
      <c r="C19" s="585"/>
      <c r="D19" s="601">
        <v>0.02</v>
      </c>
      <c r="E19" s="424"/>
      <c r="F19" s="406"/>
      <c r="G19" s="488"/>
    </row>
    <row r="20" spans="1:30" x14ac:dyDescent="0.3">
      <c r="B20" s="150" t="s">
        <v>48</v>
      </c>
      <c r="C20" s="612">
        <f>D20/2</f>
        <v>0</v>
      </c>
      <c r="D20" s="387">
        <f>IF(C8="yes",D8,(D9+D12))</f>
        <v>0</v>
      </c>
      <c r="E20" s="455"/>
      <c r="F20" s="492"/>
      <c r="G20" s="433"/>
      <c r="H20" s="433"/>
      <c r="I20" s="433"/>
      <c r="J20" s="433"/>
      <c r="K20" s="433"/>
      <c r="L20" s="433"/>
      <c r="M20" s="433"/>
      <c r="N20" s="433"/>
      <c r="O20" s="433"/>
      <c r="P20" s="433"/>
      <c r="Q20" s="433"/>
    </row>
    <row r="21" spans="1:30" s="284" customFormat="1" ht="18" x14ac:dyDescent="0.35">
      <c r="A21" s="433"/>
      <c r="B21" s="406"/>
      <c r="C21" s="496"/>
      <c r="D21" s="406"/>
      <c r="E21" s="493"/>
      <c r="F21" s="433"/>
      <c r="G21" s="433"/>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row>
    <row r="22" spans="1:30" s="284" customFormat="1" ht="18" x14ac:dyDescent="0.35">
      <c r="A22" s="433"/>
      <c r="B22" s="406"/>
      <c r="C22" s="496"/>
      <c r="D22" s="406"/>
      <c r="E22" s="493"/>
      <c r="F22" s="433"/>
      <c r="G22" s="433"/>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row>
    <row r="23" spans="1:30" s="284" customFormat="1" ht="18" x14ac:dyDescent="0.35">
      <c r="A23" s="433"/>
      <c r="B23" s="327" t="s">
        <v>128</v>
      </c>
      <c r="C23" s="328"/>
      <c r="D23" s="497"/>
      <c r="E23" s="493"/>
      <c r="F23" s="433"/>
      <c r="G23" s="433"/>
      <c r="H23" s="433"/>
      <c r="I23" s="433"/>
      <c r="J23" s="433"/>
      <c r="K23" s="433"/>
      <c r="L23" s="433"/>
      <c r="M23" s="433"/>
      <c r="N23" s="433"/>
      <c r="O23" s="433"/>
      <c r="P23" s="433"/>
      <c r="Q23" s="433"/>
      <c r="R23" s="433"/>
      <c r="S23" s="433"/>
      <c r="T23" s="433"/>
      <c r="U23" s="433"/>
      <c r="V23" s="433"/>
      <c r="W23" s="433"/>
      <c r="X23" s="433"/>
      <c r="Y23" s="433"/>
      <c r="Z23" s="433"/>
      <c r="AA23" s="433"/>
      <c r="AB23" s="433"/>
      <c r="AC23" s="433"/>
      <c r="AD23" s="433"/>
    </row>
    <row r="24" spans="1:30" s="284" customFormat="1" ht="18" x14ac:dyDescent="0.35">
      <c r="A24" s="433"/>
      <c r="B24" s="331" t="s">
        <v>187</v>
      </c>
      <c r="C24" s="332"/>
      <c r="D24" s="497"/>
      <c r="E24" s="493"/>
      <c r="F24" s="433"/>
      <c r="G24" s="433"/>
      <c r="H24" s="433"/>
      <c r="I24" s="433"/>
      <c r="J24" s="433"/>
      <c r="K24" s="433"/>
      <c r="L24" s="433"/>
      <c r="M24" s="433"/>
      <c r="N24" s="433"/>
      <c r="O24" s="433"/>
      <c r="P24" s="433"/>
      <c r="Q24" s="433"/>
      <c r="R24" s="433"/>
      <c r="S24" s="433"/>
      <c r="T24" s="433"/>
      <c r="U24" s="433"/>
      <c r="V24" s="433"/>
      <c r="W24" s="433"/>
      <c r="X24" s="433"/>
      <c r="Y24" s="433"/>
      <c r="Z24" s="433"/>
      <c r="AA24" s="433"/>
      <c r="AB24" s="433"/>
      <c r="AC24" s="433"/>
      <c r="AD24" s="433"/>
    </row>
    <row r="25" spans="1:30" s="284" customFormat="1" ht="18" x14ac:dyDescent="0.35">
      <c r="A25" s="433"/>
      <c r="B25" s="330" t="s">
        <v>151</v>
      </c>
      <c r="C25" s="329"/>
      <c r="D25" s="497"/>
      <c r="E25" s="49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row>
    <row r="26" spans="1:30" s="284" customFormat="1" ht="18" x14ac:dyDescent="0.35">
      <c r="A26" s="433"/>
      <c r="B26" s="330" t="s">
        <v>199</v>
      </c>
      <c r="C26" s="330">
        <v>1</v>
      </c>
      <c r="D26" s="497"/>
      <c r="E26" s="49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row>
    <row r="27" spans="1:30" s="284" customFormat="1" ht="18" x14ac:dyDescent="0.35">
      <c r="A27" s="433"/>
      <c r="B27" s="330" t="s">
        <v>200</v>
      </c>
      <c r="C27" s="330">
        <v>0.5</v>
      </c>
      <c r="D27" s="497"/>
      <c r="E27" s="49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row>
    <row r="28" spans="1:30" s="284" customFormat="1" ht="18" x14ac:dyDescent="0.35">
      <c r="A28" s="433"/>
      <c r="B28" s="498"/>
      <c r="C28" s="498"/>
      <c r="D28" s="497"/>
      <c r="E28" s="493"/>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row>
    <row r="29" spans="1:30" s="284" customFormat="1" ht="18" x14ac:dyDescent="0.35">
      <c r="A29" s="433"/>
      <c r="B29" s="385" t="s">
        <v>220</v>
      </c>
      <c r="C29" s="331"/>
      <c r="D29" s="497"/>
      <c r="E29" s="49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row>
    <row r="30" spans="1:30" s="284" customFormat="1" ht="18" x14ac:dyDescent="0.35">
      <c r="A30" s="433"/>
      <c r="B30" s="386" t="s">
        <v>21</v>
      </c>
      <c r="C30" s="330">
        <v>1</v>
      </c>
      <c r="D30" s="497"/>
      <c r="E30" s="49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row>
    <row r="31" spans="1:30" s="284" customFormat="1" ht="18" x14ac:dyDescent="0.35">
      <c r="A31" s="433"/>
      <c r="B31" s="386" t="s">
        <v>22</v>
      </c>
      <c r="C31" s="330">
        <v>1</v>
      </c>
      <c r="D31" s="497"/>
      <c r="E31" s="49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row>
    <row r="32" spans="1:30" s="284" customFormat="1" ht="18" x14ac:dyDescent="0.35">
      <c r="A32" s="433"/>
      <c r="B32" s="499"/>
      <c r="C32" s="498"/>
      <c r="D32" s="497"/>
      <c r="E32" s="49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row>
    <row r="33" spans="1:30" ht="15.75" customHeight="1" x14ac:dyDescent="0.3">
      <c r="B33" s="334" t="s">
        <v>189</v>
      </c>
      <c r="C33" s="335"/>
      <c r="D33" s="497"/>
      <c r="E33" s="459"/>
      <c r="F33" s="459"/>
      <c r="G33" s="459"/>
      <c r="H33" s="459"/>
      <c r="I33" s="459"/>
      <c r="J33" s="459"/>
      <c r="K33" s="459"/>
      <c r="L33" s="459"/>
      <c r="M33" s="459"/>
      <c r="N33" s="459"/>
      <c r="O33" s="459"/>
      <c r="P33" s="459"/>
      <c r="Q33" s="459"/>
    </row>
    <row r="34" spans="1:30" ht="15.6" x14ac:dyDescent="0.3">
      <c r="B34" s="330" t="s">
        <v>190</v>
      </c>
      <c r="C34" s="330">
        <v>0</v>
      </c>
      <c r="D34" s="497"/>
      <c r="E34" s="459"/>
      <c r="F34" s="459"/>
      <c r="G34" s="459"/>
      <c r="H34" s="459"/>
      <c r="I34" s="459"/>
      <c r="J34" s="459"/>
      <c r="K34" s="459"/>
      <c r="L34" s="459"/>
      <c r="M34" s="459"/>
      <c r="N34" s="459"/>
      <c r="O34" s="459"/>
      <c r="P34" s="494"/>
      <c r="Q34" s="494"/>
    </row>
    <row r="35" spans="1:30" ht="15.6" x14ac:dyDescent="0.3">
      <c r="B35" s="330" t="s">
        <v>191</v>
      </c>
      <c r="C35" s="330">
        <v>0.55000000000000004</v>
      </c>
      <c r="D35" s="416"/>
      <c r="E35" s="459"/>
      <c r="F35" s="459"/>
      <c r="G35" s="459"/>
      <c r="H35" s="459"/>
      <c r="I35" s="459"/>
      <c r="J35" s="459"/>
      <c r="K35" s="459"/>
      <c r="L35" s="459"/>
      <c r="M35" s="459"/>
      <c r="N35" s="459"/>
      <c r="O35" s="459"/>
      <c r="P35" s="494"/>
      <c r="Q35" s="494"/>
    </row>
    <row r="36" spans="1:30" s="175" customFormat="1" ht="15.6" x14ac:dyDescent="0.3">
      <c r="A36" s="411"/>
      <c r="B36" s="330" t="s">
        <v>192</v>
      </c>
      <c r="C36" s="330">
        <v>1</v>
      </c>
      <c r="D36" s="416"/>
      <c r="E36" s="459"/>
      <c r="F36" s="494"/>
      <c r="G36" s="494"/>
      <c r="H36" s="494"/>
      <c r="I36" s="494"/>
      <c r="J36" s="494"/>
      <c r="K36" s="494"/>
      <c r="L36" s="494"/>
      <c r="M36" s="494"/>
      <c r="N36" s="494"/>
      <c r="O36" s="494"/>
      <c r="P36" s="494"/>
      <c r="Q36" s="494"/>
      <c r="R36" s="411"/>
      <c r="S36" s="411"/>
      <c r="T36" s="411"/>
      <c r="U36" s="411"/>
      <c r="V36" s="411"/>
      <c r="W36" s="411"/>
      <c r="X36" s="411"/>
      <c r="Y36" s="411"/>
      <c r="Z36" s="411"/>
      <c r="AA36" s="411"/>
      <c r="AB36" s="411"/>
      <c r="AC36" s="411"/>
      <c r="AD36" s="411"/>
    </row>
    <row r="37" spans="1:30" ht="15.6" x14ac:dyDescent="0.3">
      <c r="B37" s="498"/>
      <c r="C37" s="497"/>
      <c r="D37" s="416"/>
      <c r="E37" s="459"/>
      <c r="F37" s="459"/>
      <c r="G37" s="459"/>
      <c r="H37" s="459"/>
      <c r="I37" s="459"/>
      <c r="J37" s="459"/>
      <c r="K37" s="459"/>
      <c r="L37" s="459"/>
      <c r="M37" s="459"/>
      <c r="N37" s="459"/>
      <c r="O37" s="459"/>
      <c r="P37" s="459"/>
      <c r="Q37" s="494"/>
    </row>
    <row r="38" spans="1:30" x14ac:dyDescent="0.3">
      <c r="B38" s="16" t="s">
        <v>53</v>
      </c>
      <c r="C38" s="333"/>
      <c r="D38" s="416"/>
      <c r="E38" s="459"/>
      <c r="F38" s="459"/>
      <c r="G38" s="459"/>
      <c r="H38" s="459"/>
      <c r="I38" s="459"/>
      <c r="J38" s="459"/>
      <c r="K38" s="459"/>
      <c r="L38" s="459"/>
      <c r="M38" s="459"/>
      <c r="N38" s="459"/>
      <c r="O38" s="459"/>
      <c r="P38" s="459"/>
      <c r="Q38" s="459"/>
    </row>
    <row r="39" spans="1:30" x14ac:dyDescent="0.3">
      <c r="B39" s="18" t="s">
        <v>21</v>
      </c>
      <c r="C39" s="225">
        <v>0.02</v>
      </c>
      <c r="D39" s="406"/>
      <c r="E39" s="459"/>
      <c r="F39" s="459"/>
      <c r="G39" s="459"/>
      <c r="H39" s="459"/>
      <c r="I39" s="459"/>
      <c r="J39" s="459"/>
      <c r="K39" s="459"/>
      <c r="L39" s="459"/>
      <c r="M39" s="459"/>
      <c r="N39" s="459"/>
      <c r="O39" s="459"/>
      <c r="P39" s="459"/>
      <c r="Q39" s="494"/>
    </row>
    <row r="40" spans="1:30" s="175" customFormat="1" x14ac:dyDescent="0.3">
      <c r="A40" s="411"/>
      <c r="B40" s="191" t="s">
        <v>22</v>
      </c>
      <c r="C40" s="226">
        <v>0</v>
      </c>
      <c r="D40" s="471"/>
      <c r="E40" s="432"/>
      <c r="F40" s="464"/>
      <c r="G40" s="464"/>
      <c r="H40" s="464"/>
      <c r="I40" s="464"/>
      <c r="J40" s="464"/>
      <c r="K40" s="464"/>
      <c r="L40" s="464"/>
      <c r="M40" s="464"/>
      <c r="N40" s="464"/>
      <c r="O40" s="464"/>
      <c r="P40" s="464"/>
      <c r="Q40" s="464"/>
      <c r="R40" s="411"/>
      <c r="S40" s="411"/>
      <c r="T40" s="411"/>
      <c r="U40" s="411"/>
      <c r="V40" s="411"/>
      <c r="W40" s="411"/>
      <c r="X40" s="411"/>
      <c r="Y40" s="411"/>
      <c r="Z40" s="411"/>
      <c r="AA40" s="411"/>
      <c r="AB40" s="411"/>
      <c r="AC40" s="411"/>
      <c r="AD40" s="411"/>
    </row>
    <row r="41" spans="1:30" x14ac:dyDescent="0.3">
      <c r="B41" s="469"/>
      <c r="C41" s="500"/>
      <c r="D41" s="471"/>
      <c r="E41" s="432"/>
      <c r="F41" s="432"/>
      <c r="G41" s="432"/>
      <c r="H41" s="432"/>
      <c r="I41" s="432"/>
      <c r="J41" s="432"/>
      <c r="K41" s="432"/>
      <c r="L41" s="432"/>
      <c r="M41" s="432"/>
      <c r="N41" s="432"/>
      <c r="O41" s="432"/>
      <c r="P41" s="432"/>
      <c r="Q41" s="464"/>
    </row>
    <row r="42" spans="1:30" x14ac:dyDescent="0.3">
      <c r="B42" s="16" t="s">
        <v>185</v>
      </c>
      <c r="C42" s="193"/>
      <c r="D42" s="445"/>
      <c r="E42" s="432"/>
      <c r="F42" s="432"/>
      <c r="G42" s="432"/>
      <c r="H42" s="432"/>
      <c r="I42" s="432"/>
      <c r="J42" s="432"/>
      <c r="K42" s="432"/>
      <c r="L42" s="432"/>
      <c r="M42" s="432"/>
      <c r="N42" s="432"/>
      <c r="O42" s="432"/>
      <c r="P42" s="432"/>
      <c r="Q42" s="432"/>
    </row>
    <row r="43" spans="1:30" x14ac:dyDescent="0.3">
      <c r="B43" s="18" t="s">
        <v>21</v>
      </c>
      <c r="C43" s="35">
        <v>1</v>
      </c>
      <c r="D43" s="406"/>
      <c r="E43" s="432"/>
      <c r="F43" s="432"/>
      <c r="G43" s="432"/>
      <c r="H43" s="432"/>
      <c r="I43" s="432"/>
      <c r="J43" s="432"/>
      <c r="K43" s="432"/>
      <c r="L43" s="432"/>
      <c r="M43" s="432"/>
      <c r="N43" s="432"/>
      <c r="O43" s="432"/>
      <c r="P43" s="432"/>
      <c r="Q43" s="464"/>
    </row>
    <row r="44" spans="1:30" s="175" customFormat="1" x14ac:dyDescent="0.3">
      <c r="A44" s="411"/>
      <c r="B44" s="191" t="s">
        <v>22</v>
      </c>
      <c r="C44" s="36">
        <v>0</v>
      </c>
      <c r="D44" s="406"/>
      <c r="E44" s="495"/>
      <c r="F44" s="464"/>
      <c r="G44" s="464"/>
      <c r="H44" s="464"/>
      <c r="I44" s="464"/>
      <c r="J44" s="464"/>
      <c r="K44" s="464"/>
      <c r="L44" s="464"/>
      <c r="M44" s="464"/>
      <c r="N44" s="464"/>
      <c r="O44" s="464"/>
      <c r="P44" s="464"/>
      <c r="Q44" s="464"/>
      <c r="R44" s="411"/>
      <c r="S44" s="411"/>
      <c r="T44" s="411"/>
      <c r="U44" s="411"/>
      <c r="V44" s="411"/>
      <c r="W44" s="411"/>
      <c r="X44" s="411"/>
      <c r="Y44" s="411"/>
      <c r="Z44" s="411"/>
      <c r="AA44" s="411"/>
      <c r="AB44" s="411"/>
      <c r="AC44" s="411"/>
      <c r="AD44" s="411"/>
    </row>
    <row r="45" spans="1:30" x14ac:dyDescent="0.3">
      <c r="B45" s="469"/>
      <c r="C45" s="501"/>
      <c r="D45" s="406"/>
      <c r="E45" s="459"/>
      <c r="F45" s="459"/>
      <c r="G45" s="459"/>
      <c r="H45" s="459"/>
      <c r="I45" s="459"/>
      <c r="J45" s="459"/>
      <c r="K45" s="459"/>
      <c r="L45" s="459"/>
      <c r="M45" s="459"/>
      <c r="N45" s="459"/>
      <c r="O45" s="459"/>
      <c r="P45" s="459"/>
      <c r="Q45" s="464"/>
    </row>
    <row r="46" spans="1:30" x14ac:dyDescent="0.3">
      <c r="B46" s="37" t="s">
        <v>186</v>
      </c>
      <c r="C46" s="38"/>
      <c r="D46" s="406"/>
      <c r="E46" s="459"/>
      <c r="F46" s="459"/>
      <c r="G46" s="459"/>
      <c r="H46" s="459"/>
      <c r="I46" s="459"/>
      <c r="J46" s="459"/>
      <c r="K46" s="459"/>
      <c r="L46" s="459"/>
      <c r="M46" s="459"/>
      <c r="N46" s="459"/>
      <c r="O46" s="459"/>
      <c r="P46" s="459"/>
      <c r="Q46" s="464"/>
    </row>
    <row r="47" spans="1:30" x14ac:dyDescent="0.3">
      <c r="B47" s="24" t="s">
        <v>21</v>
      </c>
      <c r="C47" s="25">
        <v>1</v>
      </c>
      <c r="D47" s="416"/>
      <c r="E47" s="459"/>
      <c r="F47" s="459"/>
      <c r="G47" s="459"/>
      <c r="H47" s="459"/>
      <c r="I47" s="459"/>
      <c r="J47" s="459"/>
      <c r="K47" s="459"/>
      <c r="L47" s="459"/>
      <c r="M47" s="459"/>
      <c r="N47" s="459"/>
      <c r="O47" s="459"/>
      <c r="P47" s="459"/>
      <c r="Q47" s="464"/>
    </row>
    <row r="48" spans="1:30" s="175" customFormat="1" x14ac:dyDescent="0.3">
      <c r="A48" s="411"/>
      <c r="B48" s="22" t="s">
        <v>22</v>
      </c>
      <c r="C48" s="26">
        <v>0</v>
      </c>
      <c r="D48" s="416"/>
      <c r="E48" s="432"/>
      <c r="F48" s="464"/>
      <c r="G48" s="464"/>
      <c r="H48" s="464"/>
      <c r="I48" s="464"/>
      <c r="J48" s="464"/>
      <c r="K48" s="464"/>
      <c r="L48" s="464"/>
      <c r="M48" s="464"/>
      <c r="N48" s="464"/>
      <c r="O48" s="464"/>
      <c r="P48" s="464"/>
      <c r="Q48" s="464"/>
      <c r="R48" s="411"/>
      <c r="S48" s="411"/>
      <c r="T48" s="411"/>
      <c r="U48" s="411"/>
      <c r="V48" s="411"/>
      <c r="W48" s="411"/>
      <c r="X48" s="411"/>
      <c r="Y48" s="411"/>
      <c r="Z48" s="411"/>
      <c r="AA48" s="411"/>
      <c r="AB48" s="411"/>
      <c r="AC48" s="411"/>
      <c r="AD48" s="411"/>
    </row>
    <row r="49" spans="2:17" x14ac:dyDescent="0.3">
      <c r="B49" s="502"/>
      <c r="C49" s="503"/>
      <c r="D49" s="416"/>
      <c r="E49" s="432"/>
      <c r="F49" s="432"/>
      <c r="G49" s="432"/>
      <c r="H49" s="432"/>
      <c r="I49" s="432"/>
      <c r="J49" s="432"/>
      <c r="K49" s="432"/>
      <c r="L49" s="432"/>
      <c r="M49" s="432"/>
      <c r="N49" s="432"/>
      <c r="O49" s="432"/>
      <c r="P49" s="432"/>
      <c r="Q49" s="464"/>
    </row>
    <row r="50" spans="2:17" x14ac:dyDescent="0.3">
      <c r="B50" s="194" t="s">
        <v>20</v>
      </c>
      <c r="C50" s="195"/>
      <c r="D50" s="445"/>
      <c r="E50" s="432"/>
      <c r="F50" s="432"/>
      <c r="G50" s="432"/>
      <c r="H50" s="432"/>
      <c r="I50" s="432"/>
      <c r="J50" s="432"/>
      <c r="K50" s="432"/>
      <c r="L50" s="432"/>
      <c r="M50" s="432"/>
      <c r="N50" s="432"/>
      <c r="O50" s="432"/>
      <c r="P50" s="432"/>
      <c r="Q50" s="432"/>
    </row>
    <row r="51" spans="2:17" x14ac:dyDescent="0.3">
      <c r="B51" s="18" t="s">
        <v>21</v>
      </c>
      <c r="C51" s="27">
        <v>1</v>
      </c>
      <c r="D51" s="406"/>
      <c r="E51" s="432"/>
      <c r="F51" s="432"/>
      <c r="G51" s="432"/>
      <c r="H51" s="432"/>
      <c r="I51" s="432"/>
      <c r="J51" s="432"/>
      <c r="K51" s="432"/>
      <c r="L51" s="432"/>
      <c r="M51" s="432"/>
      <c r="N51" s="432"/>
      <c r="O51" s="432"/>
      <c r="P51" s="432"/>
      <c r="Q51" s="464"/>
    </row>
    <row r="52" spans="2:17" x14ac:dyDescent="0.3">
      <c r="B52" s="191" t="s">
        <v>22</v>
      </c>
      <c r="C52" s="28">
        <v>0</v>
      </c>
      <c r="D52" s="406"/>
      <c r="E52" s="495"/>
      <c r="F52" s="464"/>
      <c r="G52" s="464"/>
      <c r="H52" s="464"/>
      <c r="I52" s="464"/>
      <c r="J52" s="464"/>
      <c r="K52" s="464"/>
      <c r="L52" s="464"/>
      <c r="M52" s="464"/>
      <c r="N52" s="464"/>
      <c r="O52" s="464"/>
      <c r="P52" s="464"/>
      <c r="Q52" s="464"/>
    </row>
    <row r="53" spans="2:17" x14ac:dyDescent="0.3">
      <c r="B53" s="469"/>
      <c r="C53" s="501"/>
      <c r="D53" s="406"/>
      <c r="E53" s="432"/>
      <c r="F53" s="432"/>
      <c r="G53" s="432"/>
      <c r="H53" s="432"/>
      <c r="I53" s="432"/>
      <c r="J53" s="432"/>
      <c r="K53" s="432"/>
      <c r="L53" s="432"/>
      <c r="M53" s="432"/>
      <c r="N53" s="432"/>
      <c r="O53" s="432"/>
      <c r="P53" s="432"/>
      <c r="Q53" s="464"/>
    </row>
    <row r="54" spans="2:17" x14ac:dyDescent="0.3">
      <c r="B54" s="37" t="s">
        <v>38</v>
      </c>
      <c r="C54" s="39"/>
      <c r="D54" s="406"/>
      <c r="E54" s="432"/>
      <c r="F54" s="432"/>
      <c r="G54" s="432"/>
      <c r="H54" s="432"/>
      <c r="I54" s="432"/>
      <c r="J54" s="432"/>
      <c r="K54" s="432"/>
      <c r="L54" s="432"/>
      <c r="M54" s="432"/>
      <c r="N54" s="432"/>
      <c r="O54" s="432"/>
      <c r="P54" s="432"/>
      <c r="Q54" s="432"/>
    </row>
    <row r="55" spans="2:17" x14ac:dyDescent="0.3">
      <c r="B55" s="24" t="s">
        <v>21</v>
      </c>
      <c r="C55" s="33">
        <v>1</v>
      </c>
      <c r="D55" s="406"/>
      <c r="E55" s="432"/>
      <c r="F55" s="432"/>
      <c r="G55" s="432"/>
      <c r="H55" s="432"/>
      <c r="I55" s="432"/>
      <c r="J55" s="432"/>
      <c r="K55" s="432"/>
      <c r="L55" s="432"/>
      <c r="M55" s="432"/>
      <c r="N55" s="432"/>
      <c r="O55" s="432"/>
      <c r="P55" s="432"/>
      <c r="Q55" s="432"/>
    </row>
    <row r="56" spans="2:17" x14ac:dyDescent="0.3">
      <c r="B56" s="22" t="s">
        <v>22</v>
      </c>
      <c r="C56" s="23">
        <v>0</v>
      </c>
      <c r="D56" s="406"/>
      <c r="E56" s="432"/>
      <c r="F56" s="432"/>
      <c r="G56" s="432"/>
      <c r="H56" s="432"/>
      <c r="I56" s="432"/>
      <c r="J56" s="432"/>
      <c r="K56" s="432"/>
      <c r="L56" s="432"/>
      <c r="M56" s="432"/>
      <c r="N56" s="432"/>
      <c r="O56" s="432"/>
      <c r="P56" s="432"/>
      <c r="Q56" s="432"/>
    </row>
    <row r="57" spans="2:17" x14ac:dyDescent="0.3">
      <c r="B57" s="192"/>
      <c r="C57" s="196"/>
      <c r="D57" s="406"/>
      <c r="E57" s="432"/>
      <c r="F57" s="432"/>
      <c r="G57" s="432"/>
      <c r="H57" s="432"/>
      <c r="I57" s="432"/>
      <c r="J57" s="432"/>
      <c r="K57" s="432"/>
      <c r="L57" s="432"/>
      <c r="M57" s="432"/>
      <c r="N57" s="432"/>
      <c r="O57" s="432"/>
      <c r="P57" s="432"/>
      <c r="Q57" s="432"/>
    </row>
    <row r="58" spans="2:17" x14ac:dyDescent="0.3">
      <c r="B58" s="16" t="s">
        <v>45</v>
      </c>
      <c r="C58" s="197"/>
      <c r="D58" s="406"/>
      <c r="E58" s="432"/>
      <c r="F58" s="464"/>
      <c r="G58" s="464"/>
      <c r="H58" s="464"/>
      <c r="I58" s="464"/>
      <c r="J58" s="464"/>
      <c r="K58" s="464"/>
      <c r="L58" s="464"/>
      <c r="M58" s="464"/>
      <c r="N58" s="464"/>
      <c r="O58" s="464"/>
      <c r="P58" s="464"/>
      <c r="Q58" s="464"/>
    </row>
    <row r="59" spans="2:17" x14ac:dyDescent="0.3">
      <c r="B59" s="18" t="s">
        <v>41</v>
      </c>
      <c r="C59" s="198">
        <v>0.25</v>
      </c>
      <c r="D59" s="406"/>
      <c r="E59" s="432"/>
      <c r="F59" s="464"/>
      <c r="G59" s="464"/>
      <c r="H59" s="464"/>
      <c r="I59" s="464"/>
      <c r="J59" s="464"/>
      <c r="K59" s="464"/>
      <c r="L59" s="464"/>
      <c r="M59" s="464"/>
      <c r="N59" s="464"/>
      <c r="O59" s="464"/>
      <c r="P59" s="464"/>
      <c r="Q59" s="464"/>
    </row>
    <row r="60" spans="2:17" x14ac:dyDescent="0.3">
      <c r="B60" s="21" t="s">
        <v>39</v>
      </c>
      <c r="C60" s="199">
        <v>0.5</v>
      </c>
      <c r="D60" s="406"/>
      <c r="E60" s="432"/>
      <c r="F60" s="464"/>
      <c r="G60" s="464"/>
      <c r="H60" s="464"/>
      <c r="I60" s="464"/>
      <c r="J60" s="464"/>
      <c r="K60" s="464"/>
      <c r="L60" s="464"/>
      <c r="M60" s="464"/>
      <c r="N60" s="464"/>
      <c r="O60" s="464"/>
      <c r="P60" s="464"/>
      <c r="Q60" s="464"/>
    </row>
    <row r="61" spans="2:17" x14ac:dyDescent="0.3">
      <c r="B61" s="21" t="s">
        <v>40</v>
      </c>
      <c r="C61" s="199">
        <v>0.75</v>
      </c>
      <c r="D61" s="406"/>
    </row>
    <row r="62" spans="2:17" x14ac:dyDescent="0.3">
      <c r="B62" s="22" t="s">
        <v>42</v>
      </c>
      <c r="C62" s="200">
        <v>1</v>
      </c>
      <c r="D62" s="406"/>
    </row>
    <row r="63" spans="2:17" s="411" customFormat="1" x14ac:dyDescent="0.3">
      <c r="B63" s="416"/>
      <c r="C63" s="496"/>
    </row>
    <row r="64" spans="2:17" s="411" customFormat="1" x14ac:dyDescent="0.3">
      <c r="B64" s="416"/>
      <c r="C64" s="496"/>
    </row>
    <row r="65" spans="2:3" s="411" customFormat="1" x14ac:dyDescent="0.3">
      <c r="B65" s="406"/>
      <c r="C65" s="406"/>
    </row>
    <row r="66" spans="2:3" s="411" customFormat="1" x14ac:dyDescent="0.3"/>
    <row r="67" spans="2:3" s="411" customFormat="1" x14ac:dyDescent="0.3"/>
    <row r="68" spans="2:3" s="411" customFormat="1" x14ac:dyDescent="0.3"/>
    <row r="69" spans="2:3" s="411" customFormat="1" x14ac:dyDescent="0.3"/>
    <row r="70" spans="2:3" s="411" customFormat="1" x14ac:dyDescent="0.3"/>
    <row r="71" spans="2:3" s="411" customFormat="1" x14ac:dyDescent="0.3"/>
    <row r="72" spans="2:3" s="411" customFormat="1" x14ac:dyDescent="0.3"/>
    <row r="73" spans="2:3" s="411" customFormat="1" x14ac:dyDescent="0.3"/>
    <row r="74" spans="2:3" s="411" customFormat="1" x14ac:dyDescent="0.3"/>
    <row r="75" spans="2:3" s="411" customFormat="1" x14ac:dyDescent="0.3"/>
    <row r="76" spans="2:3" s="411" customFormat="1" x14ac:dyDescent="0.3"/>
    <row r="77" spans="2:3" s="411" customFormat="1" x14ac:dyDescent="0.3"/>
    <row r="78" spans="2:3" s="411" customFormat="1" x14ac:dyDescent="0.3"/>
    <row r="79" spans="2:3" s="411" customFormat="1" x14ac:dyDescent="0.3"/>
    <row r="80" spans="2:3" s="411" customFormat="1" x14ac:dyDescent="0.3"/>
    <row r="81" s="411" customFormat="1" x14ac:dyDescent="0.3"/>
    <row r="82" s="411" customFormat="1" x14ac:dyDescent="0.3"/>
    <row r="83" s="411" customFormat="1" x14ac:dyDescent="0.3"/>
    <row r="84" s="411" customFormat="1" x14ac:dyDescent="0.3"/>
    <row r="85" s="411" customFormat="1" x14ac:dyDescent="0.3"/>
    <row r="86" s="411" customFormat="1" x14ac:dyDescent="0.3"/>
    <row r="87" s="411" customFormat="1" x14ac:dyDescent="0.3"/>
    <row r="88" s="411" customFormat="1" x14ac:dyDescent="0.3"/>
    <row r="89" s="411" customFormat="1" x14ac:dyDescent="0.3"/>
    <row r="90" s="411" customFormat="1" x14ac:dyDescent="0.3"/>
    <row r="91" s="411" customFormat="1" x14ac:dyDescent="0.3"/>
    <row r="92" s="411" customFormat="1" x14ac:dyDescent="0.3"/>
    <row r="93" s="411" customFormat="1" x14ac:dyDescent="0.3"/>
    <row r="94" s="411" customFormat="1" x14ac:dyDescent="0.3"/>
    <row r="95" s="411" customFormat="1" x14ac:dyDescent="0.3"/>
    <row r="96" s="411" customFormat="1" x14ac:dyDescent="0.3"/>
    <row r="97" spans="4:4" s="411" customFormat="1" x14ac:dyDescent="0.3"/>
    <row r="98" spans="4:4" s="411" customFormat="1" x14ac:dyDescent="0.3"/>
    <row r="99" spans="4:4" s="411" customFormat="1" x14ac:dyDescent="0.3"/>
    <row r="100" spans="4:4" s="411" customFormat="1" x14ac:dyDescent="0.3"/>
    <row r="101" spans="4:4" s="411" customFormat="1" x14ac:dyDescent="0.3"/>
    <row r="102" spans="4:4" s="411" customFormat="1" x14ac:dyDescent="0.3"/>
    <row r="103" spans="4:4" s="411" customFormat="1" x14ac:dyDescent="0.3"/>
    <row r="104" spans="4:4" s="411" customFormat="1" x14ac:dyDescent="0.3"/>
    <row r="105" spans="4:4" s="411" customFormat="1" x14ac:dyDescent="0.3"/>
    <row r="106" spans="4:4" s="411" customFormat="1" x14ac:dyDescent="0.3"/>
    <row r="107" spans="4:4" x14ac:dyDescent="0.3">
      <c r="D107" s="411"/>
    </row>
    <row r="108" spans="4:4" x14ac:dyDescent="0.3">
      <c r="D108" s="411"/>
    </row>
    <row r="109" spans="4:4" x14ac:dyDescent="0.3">
      <c r="D109" s="411"/>
    </row>
    <row r="110" spans="4:4" x14ac:dyDescent="0.3">
      <c r="D110" s="411"/>
    </row>
    <row r="111" spans="4:4" x14ac:dyDescent="0.3">
      <c r="D111" s="411"/>
    </row>
    <row r="112" spans="4:4" x14ac:dyDescent="0.3">
      <c r="D112" s="411"/>
    </row>
    <row r="113" spans="4:4" x14ac:dyDescent="0.3">
      <c r="D113" s="411"/>
    </row>
    <row r="114" spans="4:4" x14ac:dyDescent="0.3">
      <c r="D114" s="411"/>
    </row>
    <row r="115" spans="4:4" x14ac:dyDescent="0.3">
      <c r="D115" s="411"/>
    </row>
    <row r="116" spans="4:4" x14ac:dyDescent="0.3">
      <c r="D116" s="411"/>
    </row>
    <row r="117" spans="4:4" x14ac:dyDescent="0.3">
      <c r="D117" s="411"/>
    </row>
    <row r="118" spans="4:4" x14ac:dyDescent="0.3">
      <c r="D118" s="411"/>
    </row>
    <row r="119" spans="4:4" x14ac:dyDescent="0.3">
      <c r="D119" s="411"/>
    </row>
    <row r="120" spans="4:4" x14ac:dyDescent="0.3">
      <c r="D120" s="411"/>
    </row>
    <row r="121" spans="4:4" x14ac:dyDescent="0.3">
      <c r="D121" s="411"/>
    </row>
    <row r="122" spans="4:4" x14ac:dyDescent="0.3">
      <c r="D122" s="411"/>
    </row>
    <row r="123" spans="4:4" x14ac:dyDescent="0.3">
      <c r="D123" s="411"/>
    </row>
    <row r="124" spans="4:4" x14ac:dyDescent="0.3">
      <c r="D124" s="411"/>
    </row>
    <row r="125" spans="4:4" x14ac:dyDescent="0.3">
      <c r="D125" s="411"/>
    </row>
    <row r="126" spans="4:4" x14ac:dyDescent="0.3">
      <c r="D126" s="411"/>
    </row>
    <row r="127" spans="4:4" x14ac:dyDescent="0.3">
      <c r="D127" s="411"/>
    </row>
    <row r="128" spans="4:4" x14ac:dyDescent="0.3">
      <c r="D128" s="411"/>
    </row>
    <row r="129" spans="4:4" x14ac:dyDescent="0.3">
      <c r="D129" s="411"/>
    </row>
    <row r="130" spans="4:4" x14ac:dyDescent="0.3">
      <c r="D130" s="411"/>
    </row>
    <row r="131" spans="4:4" x14ac:dyDescent="0.3">
      <c r="D131" s="411"/>
    </row>
    <row r="132" spans="4:4" x14ac:dyDescent="0.3">
      <c r="D132" s="411"/>
    </row>
    <row r="133" spans="4:4" x14ac:dyDescent="0.3">
      <c r="D133" s="411"/>
    </row>
    <row r="134" spans="4:4" x14ac:dyDescent="0.3">
      <c r="D134" s="411"/>
    </row>
    <row r="135" spans="4:4" x14ac:dyDescent="0.3">
      <c r="D135" s="411"/>
    </row>
    <row r="136" spans="4:4" x14ac:dyDescent="0.3">
      <c r="D136" s="411"/>
    </row>
    <row r="137" spans="4:4" x14ac:dyDescent="0.3">
      <c r="D137" s="411"/>
    </row>
    <row r="138" spans="4:4" x14ac:dyDescent="0.3">
      <c r="D138" s="411"/>
    </row>
    <row r="139" spans="4:4" x14ac:dyDescent="0.3">
      <c r="D139" s="411"/>
    </row>
    <row r="140" spans="4:4" x14ac:dyDescent="0.3">
      <c r="D140" s="411"/>
    </row>
    <row r="141" spans="4:4" x14ac:dyDescent="0.3">
      <c r="D141" s="411"/>
    </row>
    <row r="142" spans="4:4" x14ac:dyDescent="0.3">
      <c r="D142" s="411"/>
    </row>
    <row r="143" spans="4:4" x14ac:dyDescent="0.3">
      <c r="D143" s="411"/>
    </row>
    <row r="144" spans="4:4" x14ac:dyDescent="0.3">
      <c r="D144" s="411"/>
    </row>
    <row r="145" spans="4:4" x14ac:dyDescent="0.3">
      <c r="D145" s="411"/>
    </row>
    <row r="146" spans="4:4" x14ac:dyDescent="0.3">
      <c r="D146" s="411"/>
    </row>
    <row r="147" spans="4:4" x14ac:dyDescent="0.3">
      <c r="D147" s="411"/>
    </row>
    <row r="148" spans="4:4" x14ac:dyDescent="0.3">
      <c r="D148" s="411"/>
    </row>
    <row r="149" spans="4:4" x14ac:dyDescent="0.3">
      <c r="D149" s="411"/>
    </row>
    <row r="150" spans="4:4" x14ac:dyDescent="0.3">
      <c r="D150" s="411"/>
    </row>
    <row r="151" spans="4:4" x14ac:dyDescent="0.3">
      <c r="D151" s="411"/>
    </row>
    <row r="152" spans="4:4" x14ac:dyDescent="0.3">
      <c r="D152" s="411"/>
    </row>
    <row r="153" spans="4:4" x14ac:dyDescent="0.3">
      <c r="D153" s="411"/>
    </row>
    <row r="154" spans="4:4" x14ac:dyDescent="0.3">
      <c r="D154" s="411"/>
    </row>
    <row r="155" spans="4:4" x14ac:dyDescent="0.3">
      <c r="D155" s="411"/>
    </row>
    <row r="156" spans="4:4" x14ac:dyDescent="0.3">
      <c r="D156" s="411"/>
    </row>
    <row r="157" spans="4:4" x14ac:dyDescent="0.3">
      <c r="D157" s="411"/>
    </row>
    <row r="158" spans="4:4" x14ac:dyDescent="0.3">
      <c r="D158" s="411"/>
    </row>
    <row r="159" spans="4:4" x14ac:dyDescent="0.3">
      <c r="D159" s="411"/>
    </row>
    <row r="160" spans="4:4" x14ac:dyDescent="0.3">
      <c r="D160" s="411"/>
    </row>
    <row r="161" spans="4:4" x14ac:dyDescent="0.3">
      <c r="D161" s="411"/>
    </row>
    <row r="162" spans="4:4" x14ac:dyDescent="0.3">
      <c r="D162" s="411"/>
    </row>
    <row r="163" spans="4:4" x14ac:dyDescent="0.3">
      <c r="D163" s="411"/>
    </row>
    <row r="164" spans="4:4" x14ac:dyDescent="0.3">
      <c r="D164" s="411"/>
    </row>
    <row r="165" spans="4:4" x14ac:dyDescent="0.3">
      <c r="D165" s="411"/>
    </row>
    <row r="166" spans="4:4" x14ac:dyDescent="0.3">
      <c r="D166" s="411"/>
    </row>
    <row r="167" spans="4:4" x14ac:dyDescent="0.3">
      <c r="D167" s="411"/>
    </row>
    <row r="168" spans="4:4" x14ac:dyDescent="0.3">
      <c r="D168" s="411"/>
    </row>
    <row r="169" spans="4:4" x14ac:dyDescent="0.3">
      <c r="D169" s="411"/>
    </row>
    <row r="170" spans="4:4" x14ac:dyDescent="0.3">
      <c r="D170" s="411"/>
    </row>
    <row r="171" spans="4:4" x14ac:dyDescent="0.3">
      <c r="D171" s="411"/>
    </row>
    <row r="172" spans="4:4" x14ac:dyDescent="0.3">
      <c r="D172" s="411"/>
    </row>
    <row r="173" spans="4:4" x14ac:dyDescent="0.3">
      <c r="D173" s="411"/>
    </row>
    <row r="174" spans="4:4" x14ac:dyDescent="0.3">
      <c r="D174" s="411"/>
    </row>
    <row r="175" spans="4:4" x14ac:dyDescent="0.3">
      <c r="D175" s="411"/>
    </row>
    <row r="176" spans="4:4" x14ac:dyDescent="0.3">
      <c r="D176" s="411"/>
    </row>
    <row r="177" spans="4:4" x14ac:dyDescent="0.3">
      <c r="D177" s="411"/>
    </row>
    <row r="178" spans="4:4" x14ac:dyDescent="0.3">
      <c r="D178" s="411"/>
    </row>
    <row r="179" spans="4:4" x14ac:dyDescent="0.3">
      <c r="D179" s="411"/>
    </row>
    <row r="180" spans="4:4" x14ac:dyDescent="0.3">
      <c r="D180" s="411"/>
    </row>
    <row r="181" spans="4:4" x14ac:dyDescent="0.3">
      <c r="D181" s="411"/>
    </row>
    <row r="182" spans="4:4" x14ac:dyDescent="0.3">
      <c r="D182" s="411"/>
    </row>
    <row r="183" spans="4:4" x14ac:dyDescent="0.3">
      <c r="D183" s="411"/>
    </row>
    <row r="184" spans="4:4" x14ac:dyDescent="0.3">
      <c r="D184" s="411"/>
    </row>
  </sheetData>
  <sheetProtection algorithmName="SHA-512" hashValue="ew0IkKORX7EnT2kl4W9rDYUihvOhLcaCtKaPRFs3qPPdQMXeZatcC3GFO5fnQqWgKBU/dXp+ZT0jxxjP+IXtYg==" saltValue="NLkjHdsuMRnVkupHZy6J6A==" spinCount="100000" sheet="1" objects="1" scenarios="1"/>
  <protectedRanges>
    <protectedRange sqref="C4:C5 C7:C12 C14:C18" name="Input values"/>
  </protectedRanges>
  <conditionalFormatting sqref="C10:C11">
    <cfRule type="expression" dxfId="24" priority="2">
      <formula>$C$9="no"</formula>
    </cfRule>
  </conditionalFormatting>
  <conditionalFormatting sqref="C14:C18">
    <cfRule type="expression" dxfId="23" priority="3">
      <formula>$C$12="no"</formula>
    </cfRule>
  </conditionalFormatting>
  <conditionalFormatting sqref="C9:C18">
    <cfRule type="expression" dxfId="22" priority="1">
      <formula>$C$8="Yes"</formula>
    </cfRule>
  </conditionalFormatting>
  <dataValidations count="4">
    <dataValidation type="list" showInputMessage="1" showErrorMessage="1" sqref="C18" xr:uid="{00000000-0002-0000-0200-000000000000}">
      <formula1>"&lt;25%, 25-49%, 50-74%, 75% or greater"</formula1>
    </dataValidation>
    <dataValidation type="list" allowBlank="1" showInputMessage="1" showErrorMessage="1" sqref="C8:C9 C12 C14:C17" xr:uid="{00000000-0002-0000-0200-000001000000}">
      <formula1>"Yes, No"</formula1>
    </dataValidation>
    <dataValidation type="list" allowBlank="1" showInputMessage="1" showErrorMessage="1" sqref="C10" xr:uid="{00000000-0002-0000-0200-000002000000}">
      <formula1>$B$25:$B$27</formula1>
    </dataValidation>
    <dataValidation type="list" allowBlank="1" showInputMessage="1" showErrorMessage="1" sqref="C11" xr:uid="{00000000-0002-0000-0200-000003000000}">
      <formula1>$B$34:$B$36</formula1>
    </dataValidation>
  </dataValidations>
  <pageMargins left="0.7" right="0.7" top="0.75" bottom="0.75" header="0.3" footer="0.3"/>
  <pageSetup orientation="portrait" horizontalDpi="525" verticalDpi="52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6" tint="-0.249977111117893"/>
    <pageSetUpPr fitToPage="1"/>
  </sheetPr>
  <dimension ref="A1:AI167"/>
  <sheetViews>
    <sheetView zoomScaleNormal="100" workbookViewId="0">
      <selection activeCell="C4" sqref="C4:C5"/>
    </sheetView>
  </sheetViews>
  <sheetFormatPr defaultColWidth="9.109375" defaultRowHeight="14.4" x14ac:dyDescent="0.3"/>
  <cols>
    <col min="1" max="1" width="14.109375" style="406" customWidth="1"/>
    <col min="2" max="2" width="79" style="283" customWidth="1"/>
    <col min="3" max="3" width="42.6640625" style="283" customWidth="1"/>
    <col min="4" max="4" width="10" style="283" customWidth="1"/>
    <col min="5" max="5" width="17" style="283" customWidth="1"/>
    <col min="6" max="6" width="7.109375" style="283" bestFit="1" customWidth="1"/>
    <col min="7" max="7" width="9.109375" style="406" customWidth="1"/>
    <col min="8" max="8" width="60.88671875" style="406" customWidth="1"/>
    <col min="9" max="9" width="20.88671875" style="496" customWidth="1"/>
    <col min="10" max="10" width="8.109375" style="406" customWidth="1"/>
    <col min="11" max="11" width="13" style="406" customWidth="1"/>
    <col min="12" max="12" width="4.88671875" style="406" customWidth="1"/>
    <col min="13" max="13" width="5.109375" style="406" customWidth="1"/>
    <col min="14" max="14" width="4" style="406" customWidth="1"/>
    <col min="15" max="15" width="5.44140625" style="406" customWidth="1"/>
    <col min="16" max="16" width="60" style="406" customWidth="1"/>
    <col min="17" max="17" width="29.44140625" style="406" customWidth="1"/>
    <col min="18" max="18" width="19.33203125" style="406" customWidth="1"/>
    <col min="19" max="19" width="18.109375" style="406" customWidth="1"/>
    <col min="20" max="20" width="9.109375" style="406"/>
    <col min="21" max="21" width="12" style="406" customWidth="1"/>
    <col min="22" max="22" width="15.109375" style="406" customWidth="1"/>
    <col min="23" max="23" width="17.6640625" style="406" customWidth="1"/>
    <col min="24" max="32" width="9.109375" style="406"/>
    <col min="33" max="16384" width="9.109375" style="283"/>
  </cols>
  <sheetData>
    <row r="1" spans="1:13" s="406" customFormat="1" ht="15.6" x14ac:dyDescent="0.3">
      <c r="B1" s="504"/>
      <c r="G1" s="412"/>
      <c r="I1" s="496"/>
    </row>
    <row r="2" spans="1:13" ht="18" x14ac:dyDescent="0.35">
      <c r="B2" s="164" t="s">
        <v>32</v>
      </c>
      <c r="C2" s="15"/>
      <c r="D2" s="14"/>
      <c r="E2" s="14"/>
      <c r="F2" s="15"/>
      <c r="H2" s="437"/>
    </row>
    <row r="3" spans="1:13" ht="15.6" x14ac:dyDescent="0.3">
      <c r="B3" s="201" t="s">
        <v>123</v>
      </c>
      <c r="C3" s="152"/>
      <c r="D3" s="156"/>
      <c r="E3" s="152"/>
      <c r="F3" s="153"/>
      <c r="H3" s="423"/>
    </row>
    <row r="4" spans="1:13" ht="27" customHeight="1" x14ac:dyDescent="0.3">
      <c r="B4" s="383" t="s">
        <v>16</v>
      </c>
      <c r="C4" s="203"/>
      <c r="D4" s="204"/>
      <c r="E4" s="205"/>
      <c r="F4" s="206"/>
      <c r="H4" s="624"/>
    </row>
    <row r="5" spans="1:13" ht="15.6" x14ac:dyDescent="0.3">
      <c r="A5" s="409"/>
      <c r="B5" s="384" t="s">
        <v>160</v>
      </c>
      <c r="C5" s="203"/>
      <c r="D5" s="204"/>
      <c r="E5" s="205"/>
      <c r="F5" s="206"/>
      <c r="H5" s="616"/>
      <c r="L5" s="423"/>
      <c r="M5" s="423"/>
    </row>
    <row r="6" spans="1:13" ht="15.6" x14ac:dyDescent="0.3">
      <c r="A6" s="409"/>
      <c r="B6" s="384" t="s">
        <v>195</v>
      </c>
      <c r="C6" s="203" t="s">
        <v>22</v>
      </c>
      <c r="D6" s="204"/>
      <c r="E6" s="635" t="s">
        <v>238</v>
      </c>
      <c r="F6" s="636"/>
      <c r="H6" s="616"/>
      <c r="L6" s="423"/>
      <c r="M6" s="423"/>
    </row>
    <row r="7" spans="1:13" ht="15.6" x14ac:dyDescent="0.3">
      <c r="A7" s="409"/>
      <c r="B7" s="151" t="s">
        <v>196</v>
      </c>
      <c r="C7" s="203">
        <v>80</v>
      </c>
      <c r="D7" s="626" t="str">
        <f>IF(C6="Yes",(C7*0.02),"")</f>
        <v/>
      </c>
      <c r="E7" s="205"/>
      <c r="F7" s="206"/>
      <c r="G7" s="423"/>
      <c r="L7" s="423"/>
      <c r="M7" s="423"/>
    </row>
    <row r="8" spans="1:13" ht="15.6" x14ac:dyDescent="0.3">
      <c r="A8" s="409"/>
      <c r="B8" s="384" t="s">
        <v>194</v>
      </c>
      <c r="C8" s="203" t="s">
        <v>21</v>
      </c>
      <c r="D8" s="204"/>
      <c r="E8" s="205"/>
      <c r="F8" s="206"/>
      <c r="H8" s="602"/>
      <c r="L8" s="423"/>
      <c r="M8" s="423"/>
    </row>
    <row r="9" spans="1:13" ht="18" customHeight="1" x14ac:dyDescent="0.3">
      <c r="A9" s="409"/>
      <c r="B9" s="151" t="s">
        <v>140</v>
      </c>
      <c r="C9" s="203" t="s">
        <v>50</v>
      </c>
      <c r="D9" s="365">
        <f>VLOOKUP(C9,B26:C29,2,0)</f>
        <v>1</v>
      </c>
      <c r="E9" s="205"/>
      <c r="F9" s="206"/>
      <c r="H9" s="602"/>
      <c r="L9" s="423"/>
      <c r="M9" s="423"/>
    </row>
    <row r="10" spans="1:13" ht="15.6" x14ac:dyDescent="0.3">
      <c r="A10" s="409"/>
      <c r="B10" s="151" t="s">
        <v>239</v>
      </c>
      <c r="C10" s="229">
        <v>0</v>
      </c>
      <c r="D10" s="366">
        <f>C10</f>
        <v>0</v>
      </c>
      <c r="E10" s="205"/>
      <c r="F10" s="206"/>
      <c r="H10" s="436"/>
      <c r="L10" s="423"/>
      <c r="M10" s="423"/>
    </row>
    <row r="11" spans="1:13" ht="15.6" x14ac:dyDescent="0.3">
      <c r="A11" s="407"/>
      <c r="B11" s="627" t="s">
        <v>240</v>
      </c>
      <c r="C11" s="229">
        <v>10</v>
      </c>
      <c r="D11" s="366">
        <f>IF(C11=0,0,10)</f>
        <v>10</v>
      </c>
      <c r="E11" s="359" t="s">
        <v>60</v>
      </c>
      <c r="F11" s="348">
        <f>IF(C19=0,0,IF(C9=B28, C11, IF(C9=B29,C10+C11+C12,C10)))</f>
        <v>0</v>
      </c>
      <c r="H11" s="631"/>
      <c r="L11" s="423"/>
      <c r="M11" s="423"/>
    </row>
    <row r="12" spans="1:13" ht="14.25" customHeight="1" x14ac:dyDescent="0.3">
      <c r="A12" s="407"/>
      <c r="B12" s="627" t="s">
        <v>241</v>
      </c>
      <c r="C12" s="231">
        <v>46</v>
      </c>
      <c r="D12" s="366">
        <f>IF(C12=0,0,C12)</f>
        <v>46</v>
      </c>
      <c r="E12" s="360"/>
      <c r="F12" s="361"/>
      <c r="H12" s="631"/>
      <c r="L12" s="424"/>
      <c r="M12" s="424"/>
    </row>
    <row r="13" spans="1:13" ht="15.6" x14ac:dyDescent="0.3">
      <c r="A13" s="410"/>
      <c r="B13" s="154" t="s">
        <v>114</v>
      </c>
      <c r="C13" s="207"/>
      <c r="D13" s="367">
        <f>IF(C9=B28,D15*D16*D17,IF(C9=B29,D14*D15*D16*D17,D14))</f>
        <v>1</v>
      </c>
      <c r="E13" s="633" t="str">
        <f>IF(C9=B28,"",IF(D13=0,"Not Valid","implies "&amp;ROUND(46/(D13),0)&amp;" acres/bat"))</f>
        <v>implies 46 acres/bat</v>
      </c>
      <c r="F13" s="634"/>
      <c r="H13" s="506"/>
      <c r="L13" s="424"/>
      <c r="M13" s="424"/>
    </row>
    <row r="14" spans="1:13" ht="19.5" customHeight="1" x14ac:dyDescent="0.3">
      <c r="B14" s="232" t="s">
        <v>227</v>
      </c>
      <c r="C14" s="268" t="s">
        <v>21</v>
      </c>
      <c r="D14" s="368">
        <f>VLOOKUP(C14,B36:C37,2,0)</f>
        <v>1</v>
      </c>
      <c r="E14" s="343"/>
      <c r="F14" s="344"/>
      <c r="H14" s="506"/>
      <c r="L14" s="424"/>
      <c r="M14" s="424"/>
    </row>
    <row r="15" spans="1:13" ht="17.25" customHeight="1" x14ac:dyDescent="0.3">
      <c r="A15" s="407"/>
      <c r="B15" s="202" t="s">
        <v>243</v>
      </c>
      <c r="C15" s="268" t="s">
        <v>21</v>
      </c>
      <c r="D15" s="369">
        <f>IF(C15="yes",1,0)</f>
        <v>1</v>
      </c>
      <c r="E15" s="345"/>
      <c r="F15" s="344"/>
      <c r="L15" s="424"/>
      <c r="M15" s="424"/>
    </row>
    <row r="16" spans="1:13" ht="17.25" customHeight="1" x14ac:dyDescent="0.3">
      <c r="A16" s="407"/>
      <c r="B16" s="202" t="s">
        <v>242</v>
      </c>
      <c r="C16" s="268" t="s">
        <v>21</v>
      </c>
      <c r="D16" s="369">
        <f>IF(C16="yes",1,0)</f>
        <v>1</v>
      </c>
      <c r="E16" s="345"/>
      <c r="F16" s="344"/>
      <c r="L16" s="424"/>
      <c r="M16" s="424"/>
    </row>
    <row r="17" spans="1:35" ht="17.25" customHeight="1" x14ac:dyDescent="0.3">
      <c r="A17" s="407"/>
      <c r="B17" s="341" t="s">
        <v>228</v>
      </c>
      <c r="C17" s="342" t="s">
        <v>21</v>
      </c>
      <c r="D17" s="370">
        <f>IF(C17="yes",1,0)</f>
        <v>1</v>
      </c>
      <c r="E17" s="346"/>
      <c r="F17" s="347"/>
      <c r="H17" s="506"/>
      <c r="I17" s="451"/>
      <c r="L17" s="424"/>
      <c r="M17" s="424"/>
    </row>
    <row r="18" spans="1:35" ht="15.6" x14ac:dyDescent="0.3">
      <c r="A18" s="407"/>
      <c r="B18" s="275" t="s">
        <v>17</v>
      </c>
      <c r="C18" s="603" t="s">
        <v>234</v>
      </c>
      <c r="D18" s="370">
        <f>VLOOKUP(C18,B40:C41,2)</f>
        <v>1</v>
      </c>
      <c r="E18" s="336"/>
      <c r="F18" s="267"/>
      <c r="H18" s="609"/>
      <c r="L18" s="451"/>
      <c r="M18" s="451"/>
    </row>
    <row r="19" spans="1:35" ht="20.25" customHeight="1" x14ac:dyDescent="0.3">
      <c r="A19" s="407"/>
      <c r="B19" s="155" t="s">
        <v>48</v>
      </c>
      <c r="C19" s="615">
        <f>F19</f>
        <v>0</v>
      </c>
      <c r="D19" s="208"/>
      <c r="E19" s="598" t="s">
        <v>202</v>
      </c>
      <c r="F19" s="599">
        <f>IF(C6="yes",D7*D18,IF(C8="no",0,IF(OR(C9=B26,C9=B27),((D9*D10*D13*D18)/46),IF(C9=B28,D13*D9*D18*D11/46,D13*D9*D18*(D10+D11+D12)/46))))</f>
        <v>0</v>
      </c>
      <c r="G19" s="423"/>
      <c r="H19" s="610"/>
      <c r="I19" s="451"/>
      <c r="L19" s="455"/>
      <c r="M19" s="455"/>
    </row>
    <row r="20" spans="1:35" s="406" customFormat="1" ht="20.25" customHeight="1" x14ac:dyDescent="0.3">
      <c r="A20" s="407"/>
      <c r="B20" s="413"/>
      <c r="C20" s="594"/>
      <c r="D20" s="595"/>
      <c r="E20" s="596"/>
      <c r="F20" s="597"/>
      <c r="G20" s="423"/>
      <c r="H20" s="610"/>
      <c r="I20" s="451"/>
      <c r="L20" s="455"/>
      <c r="M20" s="455"/>
    </row>
    <row r="21" spans="1:35" s="406" customFormat="1" ht="20.25" customHeight="1" x14ac:dyDescent="0.3">
      <c r="A21" s="407"/>
      <c r="B21" s="413"/>
      <c r="C21" s="594"/>
      <c r="D21" s="595"/>
      <c r="E21" s="596"/>
      <c r="F21" s="597"/>
      <c r="G21" s="423"/>
      <c r="H21" s="506"/>
      <c r="I21" s="451"/>
      <c r="L21" s="455"/>
      <c r="M21" s="455"/>
    </row>
    <row r="22" spans="1:35" s="406" customFormat="1" ht="20.25" customHeight="1" x14ac:dyDescent="0.3">
      <c r="A22" s="407"/>
      <c r="B22" s="413"/>
      <c r="C22" s="594"/>
      <c r="D22" s="595"/>
      <c r="E22" s="596"/>
      <c r="F22" s="597"/>
      <c r="G22" s="423"/>
      <c r="H22" s="506"/>
      <c r="I22" s="451"/>
      <c r="L22" s="455"/>
      <c r="M22" s="455"/>
    </row>
    <row r="23" spans="1:35" x14ac:dyDescent="0.3">
      <c r="A23" s="407"/>
      <c r="B23" s="406"/>
      <c r="C23" s="406"/>
      <c r="D23" s="406"/>
      <c r="E23" s="406"/>
      <c r="F23" s="406"/>
      <c r="G23" s="451"/>
      <c r="H23" s="416"/>
      <c r="L23" s="424"/>
      <c r="M23" s="424"/>
    </row>
    <row r="24" spans="1:35" ht="18" x14ac:dyDescent="0.35">
      <c r="B24" s="233" t="s">
        <v>122</v>
      </c>
      <c r="C24" s="230"/>
      <c r="D24" s="406"/>
      <c r="E24" s="406"/>
      <c r="F24" s="406"/>
      <c r="H24" s="416"/>
      <c r="L24" s="424"/>
      <c r="M24" s="424"/>
    </row>
    <row r="25" spans="1:35" ht="15.6" x14ac:dyDescent="0.3">
      <c r="B25" s="34" t="s">
        <v>47</v>
      </c>
      <c r="C25" s="209"/>
      <c r="D25" s="423"/>
      <c r="E25" s="406"/>
      <c r="F25" s="507"/>
      <c r="G25" s="507"/>
      <c r="H25" s="508"/>
      <c r="L25" s="451"/>
    </row>
    <row r="26" spans="1:35" x14ac:dyDescent="0.3">
      <c r="B26" s="202" t="s">
        <v>50</v>
      </c>
      <c r="C26" s="210">
        <v>1</v>
      </c>
      <c r="D26" s="423"/>
      <c r="E26" s="464"/>
      <c r="F26" s="464"/>
      <c r="G26" s="464"/>
      <c r="H26" s="416"/>
      <c r="L26" s="424"/>
    </row>
    <row r="27" spans="1:35" x14ac:dyDescent="0.3">
      <c r="B27" s="202" t="s">
        <v>43</v>
      </c>
      <c r="C27" s="210">
        <v>0.75</v>
      </c>
      <c r="D27" s="423"/>
      <c r="E27" s="509"/>
      <c r="F27" s="509"/>
      <c r="G27" s="509"/>
      <c r="H27" s="416"/>
      <c r="L27" s="424"/>
    </row>
    <row r="28" spans="1:35" x14ac:dyDescent="0.3">
      <c r="B28" s="202" t="s">
        <v>59</v>
      </c>
      <c r="C28" s="210">
        <v>0.5</v>
      </c>
      <c r="D28" s="406"/>
      <c r="E28" s="509"/>
      <c r="F28" s="509"/>
      <c r="G28" s="509"/>
      <c r="L28" s="424"/>
    </row>
    <row r="29" spans="1:35" ht="15.75" customHeight="1" x14ac:dyDescent="0.3">
      <c r="B29" s="222" t="s">
        <v>75</v>
      </c>
      <c r="C29" s="223">
        <v>1</v>
      </c>
      <c r="D29" s="416"/>
      <c r="E29" s="406"/>
      <c r="F29" s="510"/>
      <c r="G29" s="510"/>
      <c r="H29" s="511"/>
      <c r="L29" s="424"/>
      <c r="AI29" s="177"/>
    </row>
    <row r="30" spans="1:35" s="29" customFormat="1" x14ac:dyDescent="0.3">
      <c r="A30" s="416"/>
      <c r="B30" s="219"/>
      <c r="C30" s="220"/>
      <c r="D30" s="505"/>
      <c r="E30" s="512"/>
      <c r="F30" s="512"/>
      <c r="G30" s="512"/>
      <c r="H30" s="417"/>
      <c r="I30" s="513"/>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I30" s="221"/>
    </row>
    <row r="31" spans="1:35" s="218" customFormat="1" x14ac:dyDescent="0.3">
      <c r="A31" s="505"/>
      <c r="B31" s="34" t="s">
        <v>197</v>
      </c>
      <c r="C31" s="112"/>
      <c r="D31" s="505"/>
      <c r="E31" s="514"/>
      <c r="F31" s="514"/>
      <c r="G31" s="514"/>
      <c r="H31" s="418"/>
      <c r="I31" s="51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row>
    <row r="32" spans="1:35" s="111" customFormat="1" x14ac:dyDescent="0.3">
      <c r="A32" s="505"/>
      <c r="B32" s="113" t="s">
        <v>21</v>
      </c>
      <c r="C32" s="114"/>
      <c r="D32" s="505"/>
      <c r="E32" s="509"/>
      <c r="F32" s="514"/>
      <c r="G32" s="514"/>
      <c r="H32" s="418"/>
      <c r="I32" s="51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row>
    <row r="33" spans="1:32" s="111" customFormat="1" x14ac:dyDescent="0.3">
      <c r="A33" s="505"/>
      <c r="B33" s="211" t="s">
        <v>22</v>
      </c>
      <c r="C33" s="212"/>
      <c r="D33" s="406"/>
      <c r="E33" s="509"/>
      <c r="F33" s="514"/>
      <c r="G33" s="514"/>
      <c r="H33" s="509"/>
      <c r="I33" s="51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row>
    <row r="34" spans="1:32" x14ac:dyDescent="0.3">
      <c r="B34" s="214"/>
      <c r="C34" s="174"/>
      <c r="D34" s="406"/>
      <c r="E34" s="432"/>
      <c r="F34" s="432"/>
      <c r="G34" s="509"/>
      <c r="H34" s="516"/>
    </row>
    <row r="35" spans="1:32" s="174" customFormat="1" x14ac:dyDescent="0.3">
      <c r="A35" s="406"/>
      <c r="B35" s="227" t="s">
        <v>127</v>
      </c>
      <c r="C35" s="228"/>
      <c r="D35" s="416"/>
      <c r="E35" s="432"/>
      <c r="F35" s="432"/>
      <c r="G35" s="509"/>
      <c r="H35" s="517"/>
      <c r="I35" s="49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row>
    <row r="36" spans="1:32" s="29" customFormat="1" ht="15.6" x14ac:dyDescent="0.3">
      <c r="A36" s="416"/>
      <c r="B36" s="202" t="s">
        <v>21</v>
      </c>
      <c r="C36" s="604">
        <v>1</v>
      </c>
      <c r="D36" s="406"/>
      <c r="E36" s="460"/>
      <c r="F36" s="460"/>
      <c r="G36" s="512"/>
      <c r="H36" s="512"/>
      <c r="I36" s="513"/>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row>
    <row r="37" spans="1:32" ht="15.6" x14ac:dyDescent="0.3">
      <c r="B37" s="211" t="s">
        <v>22</v>
      </c>
      <c r="C37" s="605">
        <v>0</v>
      </c>
      <c r="D37" s="406"/>
      <c r="E37" s="462"/>
      <c r="F37" s="462"/>
      <c r="G37" s="509"/>
      <c r="H37" s="509"/>
    </row>
    <row r="38" spans="1:32" x14ac:dyDescent="0.3">
      <c r="B38" s="174"/>
      <c r="C38" s="606"/>
      <c r="D38" s="406"/>
      <c r="E38" s="509"/>
      <c r="F38" s="509"/>
      <c r="G38" s="432"/>
      <c r="H38" s="432"/>
    </row>
    <row r="39" spans="1:32" s="174" customFormat="1" ht="15.6" x14ac:dyDescent="0.3">
      <c r="A39" s="406"/>
      <c r="B39" s="34" t="s">
        <v>44</v>
      </c>
      <c r="C39" s="607"/>
      <c r="D39" s="406"/>
      <c r="E39" s="432"/>
      <c r="F39" s="432"/>
      <c r="G39" s="462"/>
      <c r="H39" s="462"/>
      <c r="I39" s="496"/>
      <c r="J39" s="406"/>
      <c r="K39" s="406"/>
      <c r="L39" s="423"/>
      <c r="M39" s="423"/>
      <c r="N39" s="406"/>
      <c r="O39" s="406"/>
      <c r="P39" s="406"/>
      <c r="Q39" s="406"/>
      <c r="R39" s="406"/>
      <c r="S39" s="406"/>
      <c r="T39" s="406"/>
      <c r="U39" s="406"/>
      <c r="V39" s="406"/>
      <c r="W39" s="406"/>
      <c r="X39" s="406"/>
      <c r="Y39" s="406"/>
      <c r="Z39" s="406"/>
      <c r="AA39" s="406"/>
      <c r="AB39" s="406"/>
      <c r="AC39" s="406"/>
      <c r="AD39" s="406"/>
      <c r="AE39" s="406"/>
      <c r="AF39" s="406"/>
    </row>
    <row r="40" spans="1:32" ht="15.6" x14ac:dyDescent="0.3">
      <c r="B40" s="338" t="s">
        <v>234</v>
      </c>
      <c r="C40" s="608">
        <v>1</v>
      </c>
      <c r="D40" s="423"/>
      <c r="E40" s="462"/>
      <c r="F40" s="462"/>
      <c r="G40" s="462"/>
      <c r="H40" s="462"/>
      <c r="L40" s="423"/>
      <c r="M40" s="423"/>
    </row>
    <row r="41" spans="1:32" ht="15.6" x14ac:dyDescent="0.3">
      <c r="B41" s="222" t="s">
        <v>235</v>
      </c>
      <c r="C41" s="605">
        <v>0</v>
      </c>
      <c r="D41" s="525"/>
      <c r="E41" s="406"/>
      <c r="F41" s="462"/>
      <c r="G41" s="462"/>
      <c r="H41" s="511"/>
      <c r="L41" s="423"/>
      <c r="M41" s="423"/>
    </row>
    <row r="42" spans="1:32" s="29" customFormat="1" x14ac:dyDescent="0.3">
      <c r="A42" s="416"/>
      <c r="B42" s="428"/>
      <c r="C42" s="406"/>
      <c r="D42" s="406"/>
      <c r="E42" s="512"/>
      <c r="F42" s="512"/>
      <c r="G42" s="512"/>
      <c r="H42" s="518"/>
      <c r="I42" s="513"/>
      <c r="J42" s="416"/>
      <c r="K42" s="416"/>
      <c r="L42" s="416"/>
      <c r="M42" s="416"/>
      <c r="N42" s="445"/>
      <c r="O42" s="416"/>
      <c r="P42" s="416"/>
      <c r="Q42" s="416"/>
      <c r="R42" s="416"/>
      <c r="S42" s="416"/>
      <c r="T42" s="416"/>
      <c r="U42" s="416"/>
      <c r="V42" s="416"/>
      <c r="W42" s="416"/>
      <c r="X42" s="416"/>
      <c r="Y42" s="416"/>
      <c r="Z42" s="416"/>
      <c r="AA42" s="416"/>
      <c r="AB42" s="416"/>
      <c r="AC42" s="416"/>
      <c r="AD42" s="416"/>
      <c r="AE42" s="416"/>
      <c r="AF42" s="416"/>
    </row>
    <row r="43" spans="1:32" s="406" customFormat="1" x14ac:dyDescent="0.3">
      <c r="B43" s="428"/>
      <c r="E43" s="407"/>
      <c r="F43" s="407"/>
      <c r="G43" s="407"/>
      <c r="H43" s="407"/>
      <c r="I43" s="496"/>
      <c r="L43" s="423"/>
      <c r="M43" s="423"/>
      <c r="N43" s="407"/>
    </row>
    <row r="44" spans="1:32" s="406" customFormat="1" x14ac:dyDescent="0.3">
      <c r="E44" s="407"/>
      <c r="F44" s="407"/>
      <c r="G44" s="407"/>
      <c r="H44" s="407"/>
      <c r="I44" s="496"/>
      <c r="L44" s="423"/>
      <c r="M44" s="423"/>
      <c r="N44" s="407"/>
    </row>
    <row r="45" spans="1:32" s="406" customFormat="1" x14ac:dyDescent="0.3">
      <c r="E45" s="407"/>
      <c r="F45" s="407"/>
      <c r="G45" s="407"/>
      <c r="H45" s="407"/>
      <c r="I45" s="496"/>
      <c r="L45" s="423"/>
      <c r="M45" s="423"/>
    </row>
    <row r="46" spans="1:32" s="406" customFormat="1" x14ac:dyDescent="0.3">
      <c r="E46" s="407"/>
      <c r="F46" s="407"/>
      <c r="G46" s="407"/>
      <c r="H46" s="407"/>
      <c r="I46" s="496"/>
    </row>
    <row r="47" spans="1:32" s="406" customFormat="1" ht="15.6" x14ac:dyDescent="0.3">
      <c r="E47" s="526"/>
      <c r="F47" s="407"/>
      <c r="G47" s="407"/>
      <c r="H47" s="407"/>
      <c r="I47" s="496"/>
    </row>
    <row r="48" spans="1:32" s="406" customFormat="1" ht="15.6" x14ac:dyDescent="0.3">
      <c r="E48" s="462"/>
      <c r="F48" s="407"/>
      <c r="G48" s="407"/>
      <c r="H48" s="407"/>
      <c r="I48" s="496"/>
    </row>
    <row r="49" spans="4:22" s="406" customFormat="1" ht="15.6" x14ac:dyDescent="0.3">
      <c r="E49" s="462"/>
      <c r="F49" s="407"/>
      <c r="G49" s="407"/>
      <c r="H49" s="407"/>
      <c r="I49" s="496"/>
    </row>
    <row r="50" spans="4:22" s="406" customFormat="1" x14ac:dyDescent="0.3">
      <c r="E50" s="407"/>
      <c r="F50" s="407"/>
      <c r="G50" s="407"/>
      <c r="H50" s="407"/>
      <c r="I50" s="496"/>
    </row>
    <row r="51" spans="4:22" s="406" customFormat="1" x14ac:dyDescent="0.3">
      <c r="E51" s="407"/>
      <c r="F51" s="407"/>
      <c r="G51" s="407"/>
      <c r="H51" s="407"/>
      <c r="I51" s="496"/>
    </row>
    <row r="52" spans="4:22" s="406" customFormat="1" x14ac:dyDescent="0.3">
      <c r="E52" s="407"/>
      <c r="F52" s="407"/>
      <c r="G52" s="407"/>
      <c r="H52" s="407"/>
      <c r="I52" s="496"/>
    </row>
    <row r="53" spans="4:22" s="406" customFormat="1" x14ac:dyDescent="0.3">
      <c r="E53" s="407"/>
      <c r="F53" s="407"/>
      <c r="G53" s="407"/>
      <c r="H53" s="407"/>
      <c r="I53" s="496"/>
    </row>
    <row r="54" spans="4:22" s="406" customFormat="1" x14ac:dyDescent="0.3">
      <c r="E54" s="407"/>
      <c r="F54" s="407"/>
      <c r="G54" s="407"/>
      <c r="H54" s="407"/>
      <c r="I54" s="496"/>
      <c r="L54" s="423"/>
      <c r="M54" s="423"/>
      <c r="S54" s="450"/>
      <c r="V54" s="423"/>
    </row>
    <row r="55" spans="4:22" s="406" customFormat="1" x14ac:dyDescent="0.3">
      <c r="E55" s="407"/>
      <c r="F55" s="407"/>
      <c r="G55" s="407"/>
      <c r="H55" s="407"/>
      <c r="I55" s="496"/>
      <c r="L55" s="423"/>
      <c r="M55" s="423"/>
      <c r="S55" s="519"/>
      <c r="V55" s="423"/>
    </row>
    <row r="56" spans="4:22" s="406" customFormat="1" x14ac:dyDescent="0.3">
      <c r="I56" s="496"/>
      <c r="L56" s="423"/>
      <c r="M56" s="423"/>
      <c r="V56" s="423"/>
    </row>
    <row r="57" spans="4:22" s="406" customFormat="1" x14ac:dyDescent="0.3">
      <c r="L57" s="423"/>
      <c r="M57" s="423"/>
      <c r="T57" s="519"/>
    </row>
    <row r="58" spans="4:22" s="406" customFormat="1" x14ac:dyDescent="0.3">
      <c r="I58" s="520"/>
      <c r="K58" s="521"/>
    </row>
    <row r="59" spans="4:22" s="406" customFormat="1" x14ac:dyDescent="0.3">
      <c r="I59" s="496"/>
      <c r="K59" s="521"/>
    </row>
    <row r="60" spans="4:22" s="406" customFormat="1" x14ac:dyDescent="0.3">
      <c r="H60" s="519"/>
      <c r="I60" s="496"/>
      <c r="K60" s="521"/>
    </row>
    <row r="61" spans="4:22" s="406" customFormat="1" x14ac:dyDescent="0.3">
      <c r="I61" s="496"/>
      <c r="T61" s="519"/>
    </row>
    <row r="62" spans="4:22" s="406" customFormat="1" x14ac:dyDescent="0.3">
      <c r="I62" s="520"/>
      <c r="J62" s="521"/>
    </row>
    <row r="63" spans="4:22" s="406" customFormat="1" x14ac:dyDescent="0.3">
      <c r="D63" s="407"/>
      <c r="I63" s="521"/>
      <c r="J63" s="521"/>
    </row>
    <row r="64" spans="4:22" s="406" customFormat="1" x14ac:dyDescent="0.3">
      <c r="D64" s="407"/>
      <c r="I64" s="521"/>
      <c r="J64" s="521"/>
    </row>
    <row r="65" spans="2:18" s="406" customFormat="1" x14ac:dyDescent="0.3">
      <c r="B65" s="407"/>
      <c r="C65" s="407"/>
      <c r="I65" s="496"/>
    </row>
    <row r="66" spans="2:18" s="406" customFormat="1" x14ac:dyDescent="0.3">
      <c r="B66" s="422"/>
      <c r="C66" s="407"/>
      <c r="I66" s="496"/>
    </row>
    <row r="67" spans="2:18" s="406" customFormat="1" ht="15.75" customHeight="1" x14ac:dyDescent="0.3">
      <c r="E67" s="407"/>
      <c r="I67" s="496"/>
      <c r="L67" s="521"/>
      <c r="M67" s="521"/>
      <c r="N67" s="521"/>
      <c r="O67" s="521"/>
      <c r="P67" s="521"/>
      <c r="R67" s="522"/>
    </row>
    <row r="68" spans="2:18" s="406" customFormat="1" x14ac:dyDescent="0.3">
      <c r="E68" s="407"/>
      <c r="I68" s="496"/>
      <c r="L68" s="521"/>
      <c r="M68" s="521"/>
      <c r="N68" s="521"/>
      <c r="O68" s="521"/>
      <c r="P68" s="521"/>
      <c r="R68" s="523"/>
    </row>
    <row r="69" spans="2:18" s="406" customFormat="1" x14ac:dyDescent="0.3">
      <c r="I69" s="496"/>
      <c r="L69" s="521"/>
      <c r="M69" s="521"/>
      <c r="N69" s="521"/>
      <c r="O69" s="521"/>
      <c r="P69" s="521"/>
      <c r="R69" s="523"/>
    </row>
    <row r="70" spans="2:18" s="406" customFormat="1" x14ac:dyDescent="0.3">
      <c r="I70" s="496"/>
      <c r="R70" s="523"/>
    </row>
    <row r="71" spans="2:18" s="406" customFormat="1" x14ac:dyDescent="0.3">
      <c r="I71" s="496"/>
    </row>
    <row r="72" spans="2:18" s="406" customFormat="1" x14ac:dyDescent="0.3">
      <c r="I72" s="496"/>
    </row>
    <row r="73" spans="2:18" s="406" customFormat="1" x14ac:dyDescent="0.3">
      <c r="I73" s="496"/>
    </row>
    <row r="74" spans="2:18" s="406" customFormat="1" x14ac:dyDescent="0.3">
      <c r="I74" s="496"/>
    </row>
    <row r="75" spans="2:18" s="406" customFormat="1" x14ac:dyDescent="0.3">
      <c r="I75" s="496"/>
    </row>
    <row r="76" spans="2:18" s="406" customFormat="1" x14ac:dyDescent="0.3">
      <c r="I76" s="496"/>
    </row>
    <row r="77" spans="2:18" s="406" customFormat="1" x14ac:dyDescent="0.3">
      <c r="I77" s="496"/>
    </row>
    <row r="78" spans="2:18" s="406" customFormat="1" x14ac:dyDescent="0.3">
      <c r="I78" s="496"/>
    </row>
    <row r="79" spans="2:18" s="406" customFormat="1" x14ac:dyDescent="0.3">
      <c r="I79" s="496"/>
    </row>
    <row r="80" spans="2:18" s="406" customFormat="1" x14ac:dyDescent="0.3">
      <c r="I80" s="496"/>
    </row>
    <row r="81" spans="2:9" s="406" customFormat="1" x14ac:dyDescent="0.3">
      <c r="I81" s="496"/>
    </row>
    <row r="82" spans="2:9" s="406" customFormat="1" x14ac:dyDescent="0.3">
      <c r="I82" s="496"/>
    </row>
    <row r="83" spans="2:9" s="406" customFormat="1" x14ac:dyDescent="0.3">
      <c r="I83" s="496"/>
    </row>
    <row r="84" spans="2:9" s="406" customFormat="1" x14ac:dyDescent="0.3">
      <c r="B84" s="283"/>
      <c r="C84" s="283"/>
      <c r="I84" s="496"/>
    </row>
    <row r="85" spans="2:9" x14ac:dyDescent="0.3">
      <c r="D85" s="406"/>
      <c r="E85" s="406"/>
      <c r="F85" s="406"/>
    </row>
    <row r="86" spans="2:9" x14ac:dyDescent="0.3">
      <c r="D86" s="406"/>
      <c r="E86" s="406"/>
      <c r="F86" s="406"/>
    </row>
    <row r="87" spans="2:9" x14ac:dyDescent="0.3">
      <c r="D87" s="406"/>
      <c r="E87" s="406"/>
      <c r="F87" s="406"/>
    </row>
    <row r="88" spans="2:9" x14ac:dyDescent="0.3">
      <c r="D88" s="406"/>
      <c r="E88" s="406"/>
      <c r="F88" s="406"/>
    </row>
    <row r="89" spans="2:9" x14ac:dyDescent="0.3">
      <c r="D89" s="406"/>
      <c r="E89" s="406"/>
      <c r="F89" s="406"/>
    </row>
    <row r="90" spans="2:9" x14ac:dyDescent="0.3">
      <c r="D90" s="406"/>
      <c r="E90" s="406"/>
      <c r="F90" s="406"/>
    </row>
    <row r="91" spans="2:9" x14ac:dyDescent="0.3">
      <c r="D91" s="406"/>
      <c r="E91" s="406"/>
      <c r="F91" s="406"/>
    </row>
    <row r="92" spans="2:9" x14ac:dyDescent="0.3">
      <c r="D92" s="406"/>
      <c r="E92" s="406"/>
      <c r="F92" s="406"/>
    </row>
    <row r="93" spans="2:9" x14ac:dyDescent="0.3">
      <c r="D93" s="406"/>
      <c r="E93" s="406"/>
      <c r="F93" s="406"/>
    </row>
    <row r="94" spans="2:9" x14ac:dyDescent="0.3">
      <c r="D94" s="406"/>
      <c r="E94" s="406"/>
      <c r="F94" s="406"/>
    </row>
    <row r="95" spans="2:9" x14ac:dyDescent="0.3">
      <c r="D95" s="406"/>
      <c r="E95" s="406"/>
      <c r="F95" s="406"/>
    </row>
    <row r="96" spans="2:9" x14ac:dyDescent="0.3">
      <c r="D96" s="406"/>
      <c r="E96" s="406"/>
      <c r="F96" s="406"/>
    </row>
    <row r="97" spans="4:6" x14ac:dyDescent="0.3">
      <c r="D97" s="406"/>
      <c r="E97" s="406"/>
      <c r="F97" s="406"/>
    </row>
    <row r="98" spans="4:6" x14ac:dyDescent="0.3">
      <c r="D98" s="406"/>
      <c r="E98" s="406"/>
      <c r="F98" s="406"/>
    </row>
    <row r="99" spans="4:6" x14ac:dyDescent="0.3">
      <c r="D99" s="406"/>
      <c r="E99" s="406"/>
      <c r="F99" s="406"/>
    </row>
    <row r="100" spans="4:6" x14ac:dyDescent="0.3">
      <c r="D100" s="406"/>
      <c r="E100" s="406"/>
      <c r="F100" s="406"/>
    </row>
    <row r="101" spans="4:6" x14ac:dyDescent="0.3">
      <c r="D101" s="406"/>
      <c r="E101" s="406"/>
      <c r="F101" s="406"/>
    </row>
    <row r="102" spans="4:6" x14ac:dyDescent="0.3">
      <c r="D102" s="406"/>
      <c r="E102" s="406"/>
      <c r="F102" s="406"/>
    </row>
    <row r="103" spans="4:6" x14ac:dyDescent="0.3">
      <c r="D103" s="406"/>
      <c r="E103" s="406"/>
      <c r="F103" s="406"/>
    </row>
    <row r="104" spans="4:6" x14ac:dyDescent="0.3">
      <c r="D104" s="406"/>
      <c r="E104" s="406"/>
      <c r="F104" s="406"/>
    </row>
    <row r="105" spans="4:6" x14ac:dyDescent="0.3">
      <c r="D105" s="406"/>
      <c r="E105" s="406"/>
      <c r="F105" s="406"/>
    </row>
    <row r="106" spans="4:6" x14ac:dyDescent="0.3">
      <c r="D106" s="406"/>
      <c r="E106" s="406"/>
      <c r="F106" s="406"/>
    </row>
    <row r="107" spans="4:6" x14ac:dyDescent="0.3">
      <c r="D107" s="406"/>
      <c r="E107" s="406"/>
      <c r="F107" s="406"/>
    </row>
    <row r="108" spans="4:6" x14ac:dyDescent="0.3">
      <c r="D108" s="406"/>
      <c r="E108" s="406"/>
      <c r="F108" s="406"/>
    </row>
    <row r="109" spans="4:6" x14ac:dyDescent="0.3">
      <c r="D109" s="406"/>
      <c r="E109" s="406"/>
      <c r="F109" s="406"/>
    </row>
    <row r="110" spans="4:6" x14ac:dyDescent="0.3">
      <c r="D110" s="406"/>
      <c r="E110" s="406"/>
      <c r="F110" s="406"/>
    </row>
    <row r="111" spans="4:6" x14ac:dyDescent="0.3">
      <c r="D111" s="406"/>
      <c r="E111" s="406"/>
      <c r="F111" s="406"/>
    </row>
    <row r="112" spans="4:6" x14ac:dyDescent="0.3">
      <c r="D112" s="406"/>
      <c r="E112" s="406"/>
      <c r="F112" s="406"/>
    </row>
    <row r="113" spans="4:20" x14ac:dyDescent="0.3">
      <c r="D113" s="406"/>
      <c r="E113" s="406"/>
      <c r="F113" s="406"/>
    </row>
    <row r="114" spans="4:20" x14ac:dyDescent="0.3">
      <c r="D114" s="406"/>
      <c r="E114" s="406"/>
      <c r="F114" s="406"/>
    </row>
    <row r="115" spans="4:20" x14ac:dyDescent="0.3">
      <c r="D115" s="406"/>
      <c r="E115" s="406"/>
      <c r="F115" s="406"/>
    </row>
    <row r="116" spans="4:20" x14ac:dyDescent="0.3">
      <c r="D116" s="406"/>
      <c r="E116" s="406"/>
      <c r="F116" s="406"/>
    </row>
    <row r="117" spans="4:20" x14ac:dyDescent="0.3">
      <c r="D117" s="406"/>
      <c r="E117" s="406"/>
      <c r="F117" s="406"/>
    </row>
    <row r="118" spans="4:20" x14ac:dyDescent="0.3">
      <c r="D118" s="406"/>
      <c r="E118" s="406"/>
      <c r="F118" s="406"/>
    </row>
    <row r="119" spans="4:20" x14ac:dyDescent="0.3">
      <c r="D119" s="406"/>
      <c r="E119" s="406"/>
      <c r="F119" s="406"/>
    </row>
    <row r="120" spans="4:20" x14ac:dyDescent="0.3">
      <c r="D120" s="406"/>
      <c r="E120" s="406"/>
      <c r="F120" s="406"/>
    </row>
    <row r="121" spans="4:20" x14ac:dyDescent="0.3">
      <c r="D121" s="406"/>
      <c r="E121" s="406"/>
      <c r="F121" s="406"/>
    </row>
    <row r="122" spans="4:20" x14ac:dyDescent="0.3">
      <c r="D122" s="406"/>
      <c r="E122" s="406"/>
      <c r="F122" s="406"/>
    </row>
    <row r="123" spans="4:20" x14ac:dyDescent="0.3">
      <c r="D123" s="406"/>
      <c r="E123" s="406"/>
      <c r="F123" s="406"/>
    </row>
    <row r="124" spans="4:20" x14ac:dyDescent="0.3">
      <c r="D124" s="406"/>
      <c r="E124" s="406"/>
      <c r="F124" s="406"/>
    </row>
    <row r="125" spans="4:20" ht="15" thickBot="1" x14ac:dyDescent="0.35">
      <c r="D125" s="406"/>
      <c r="E125" s="406"/>
      <c r="F125" s="406"/>
      <c r="T125" s="524"/>
    </row>
    <row r="126" spans="4:20" x14ac:dyDescent="0.3">
      <c r="D126" s="406"/>
      <c r="E126" s="406"/>
      <c r="F126" s="406"/>
    </row>
    <row r="127" spans="4:20" x14ac:dyDescent="0.3">
      <c r="D127" s="406"/>
      <c r="E127" s="406"/>
      <c r="F127" s="406"/>
    </row>
    <row r="128" spans="4:20" x14ac:dyDescent="0.3">
      <c r="D128" s="406"/>
      <c r="E128" s="406"/>
      <c r="F128" s="406"/>
    </row>
    <row r="129" spans="2:6" x14ac:dyDescent="0.3">
      <c r="B129" s="180"/>
      <c r="D129" s="406"/>
      <c r="E129" s="406"/>
      <c r="F129" s="406"/>
    </row>
    <row r="130" spans="2:6" x14ac:dyDescent="0.3">
      <c r="B130" s="180"/>
      <c r="D130" s="406"/>
      <c r="E130" s="406"/>
      <c r="F130" s="406"/>
    </row>
    <row r="131" spans="2:6" x14ac:dyDescent="0.3">
      <c r="B131" s="180"/>
      <c r="D131" s="406"/>
      <c r="E131" s="406"/>
      <c r="F131" s="406"/>
    </row>
    <row r="132" spans="2:6" x14ac:dyDescent="0.3">
      <c r="B132" s="180"/>
      <c r="D132" s="406"/>
      <c r="E132" s="406"/>
      <c r="F132" s="406"/>
    </row>
    <row r="133" spans="2:6" x14ac:dyDescent="0.3">
      <c r="B133" s="180"/>
      <c r="E133" s="406"/>
      <c r="F133" s="406"/>
    </row>
    <row r="134" spans="2:6" x14ac:dyDescent="0.3">
      <c r="B134" s="213"/>
    </row>
    <row r="141" spans="2:6" x14ac:dyDescent="0.3">
      <c r="E141" s="17"/>
    </row>
    <row r="142" spans="2:6" x14ac:dyDescent="0.3">
      <c r="E142" s="17"/>
    </row>
    <row r="143" spans="2:6" x14ac:dyDescent="0.3">
      <c r="E143" s="17"/>
    </row>
    <row r="145" spans="5:5" x14ac:dyDescent="0.3">
      <c r="E145" s="17"/>
    </row>
    <row r="146" spans="5:5" x14ac:dyDescent="0.3">
      <c r="E146" s="17"/>
    </row>
    <row r="149" spans="5:5" x14ac:dyDescent="0.3">
      <c r="E149" s="17"/>
    </row>
    <row r="150" spans="5:5" x14ac:dyDescent="0.3">
      <c r="E150" s="17"/>
    </row>
    <row r="151" spans="5:5" x14ac:dyDescent="0.3">
      <c r="E151" s="17"/>
    </row>
    <row r="152" spans="5:5" x14ac:dyDescent="0.3">
      <c r="E152" s="17"/>
    </row>
    <row r="153" spans="5:5" x14ac:dyDescent="0.3">
      <c r="E153" s="17"/>
    </row>
    <row r="155" spans="5:5" x14ac:dyDescent="0.3">
      <c r="E155" s="17"/>
    </row>
    <row r="156" spans="5:5" x14ac:dyDescent="0.3">
      <c r="E156" s="17"/>
    </row>
    <row r="157" spans="5:5" x14ac:dyDescent="0.3">
      <c r="E157" s="17"/>
    </row>
    <row r="167" spans="5:5" x14ac:dyDescent="0.3">
      <c r="E167" s="17"/>
    </row>
  </sheetData>
  <sheetProtection algorithmName="SHA-512" hashValue="38nVQdJLLUwwRZgkSXlG/nxJKQZbpvgihCgmjdBo2Mf0qhCspNQ2V5TRYOeof4S5ZX8nTT4kCJpt40vLxDbsjg==" saltValue="zKAF82NmjcsZeZBH7DsFQA==" spinCount="100000" sheet="1" objects="1" scenarios="1"/>
  <protectedRanges>
    <protectedRange sqref="C4:C12 C14:C18" name="Input values"/>
  </protectedRanges>
  <sortState xmlns:xlrd2="http://schemas.microsoft.com/office/spreadsheetml/2017/richdata2" ref="H36:I38">
    <sortCondition ref="H35"/>
  </sortState>
  <mergeCells count="2">
    <mergeCell ref="E13:F13"/>
    <mergeCell ref="E6:F6"/>
  </mergeCells>
  <phoneticPr fontId="0" type="noConversion"/>
  <conditionalFormatting sqref="C9:C17">
    <cfRule type="expression" dxfId="21" priority="2">
      <formula>$C$8="No"</formula>
    </cfRule>
  </conditionalFormatting>
  <conditionalFormatting sqref="C7">
    <cfRule type="expression" dxfId="20" priority="3">
      <formula>$C$6="no"</formula>
    </cfRule>
  </conditionalFormatting>
  <conditionalFormatting sqref="C8:C17">
    <cfRule type="expression" dxfId="19" priority="1">
      <formula>C$6="Yes"</formula>
    </cfRule>
  </conditionalFormatting>
  <conditionalFormatting sqref="C15:C17">
    <cfRule type="expression" dxfId="18" priority="16">
      <formula>OR($C$9=$B$27,$C$9=$B$26)</formula>
    </cfRule>
  </conditionalFormatting>
  <conditionalFormatting sqref="C11">
    <cfRule type="expression" dxfId="17" priority="18">
      <formula>OR($C$9=$B$26,$C$9=$B$27)</formula>
    </cfRule>
  </conditionalFormatting>
  <conditionalFormatting sqref="C12">
    <cfRule type="expression" dxfId="16" priority="19">
      <formula>OR(C9=B26,C9=B27,C9=B28)</formula>
    </cfRule>
  </conditionalFormatting>
  <conditionalFormatting sqref="C14">
    <cfRule type="expression" dxfId="15" priority="20">
      <formula>(C9=B28)</formula>
    </cfRule>
  </conditionalFormatting>
  <conditionalFormatting sqref="C10">
    <cfRule type="expression" dxfId="14" priority="21">
      <formula>OR($C$9=$B$28, $C$6=$B$29)</formula>
    </cfRule>
  </conditionalFormatting>
  <dataValidations count="4">
    <dataValidation type="list" allowBlank="1" showInputMessage="1" showErrorMessage="1" sqref="C16" xr:uid="{00000000-0002-0000-0300-000000000000}">
      <formula1>$B$36:$B$37</formula1>
    </dataValidation>
    <dataValidation type="list" allowBlank="1" showInputMessage="1" showErrorMessage="1" sqref="C9" xr:uid="{00000000-0002-0000-0300-000001000000}">
      <formula1>$B$26:$B$29</formula1>
    </dataValidation>
    <dataValidation type="list" allowBlank="1" showInputMessage="1" showErrorMessage="1" sqref="C14:C15 C17 C6 C8" xr:uid="{00000000-0002-0000-0300-000002000000}">
      <formula1>"Yes, No"</formula1>
    </dataValidation>
    <dataValidation type="list" allowBlank="1" showInputMessage="1" showErrorMessage="1" promptTitle="Select one" sqref="C18" xr:uid="{00000000-0002-0000-0300-000003000000}">
      <formula1>$B$40:$B$41</formula1>
    </dataValidation>
  </dataValidations>
  <printOptions headings="1"/>
  <pageMargins left="0.7" right="0.7" top="0.75" bottom="0.75" header="0.3" footer="0.3"/>
  <pageSetup scale="19" orientation="landscape" horizontalDpi="525" verticalDpi="525" r:id="rId1"/>
  <extLst>
    <ext xmlns:x14="http://schemas.microsoft.com/office/spreadsheetml/2009/9/main" uri="{78C0D931-6437-407d-A8EE-F0AAD7539E65}">
      <x14:conditionalFormattings>
        <x14:conditionalFormatting xmlns:xm="http://schemas.microsoft.com/office/excel/2006/main">
          <x14:cfRule type="expression" priority="5" id="{74519C6F-6D89-4B4A-B5E6-9A11B60F28EF}">
            <xm:f>'\Users\jszymanski\Documents\My files\Wind\Regional HCP\Mitigation\REA\Other Bats\[LBB REA Model_user_v1_1Dec2015.xlsx]Mit-WinHabPrt'!#REF!=0</xm:f>
            <x14:dxf>
              <font>
                <color theme="7" tint="0.39994506668294322"/>
              </font>
            </x14:dxf>
          </x14:cfRule>
          <xm:sqref>D19:D22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1:BM143"/>
  <sheetViews>
    <sheetView zoomScale="90" zoomScaleNormal="90" workbookViewId="0">
      <selection activeCell="C4" sqref="C4:C5"/>
    </sheetView>
  </sheetViews>
  <sheetFormatPr defaultColWidth="9.109375" defaultRowHeight="14.4" x14ac:dyDescent="0.3"/>
  <cols>
    <col min="1" max="1" width="7.33203125" style="411" customWidth="1"/>
    <col min="2" max="2" width="77" style="396" customWidth="1"/>
    <col min="3" max="3" width="31.109375" style="396" customWidth="1"/>
    <col min="4" max="4" width="11" style="396" customWidth="1"/>
    <col min="5" max="5" width="18.109375" style="396" customWidth="1"/>
    <col min="6" max="21" width="9.44140625" style="411" customWidth="1"/>
    <col min="22" max="22" width="10.88671875" style="411" customWidth="1"/>
    <col min="23" max="23" width="13.109375" style="396" customWidth="1"/>
    <col min="24" max="26" width="9.109375" style="396"/>
    <col min="27" max="27" width="13.109375" style="411" customWidth="1"/>
    <col min="28" max="43" width="9.109375" style="411"/>
    <col min="44" max="16384" width="9.109375" style="396"/>
  </cols>
  <sheetData>
    <row r="1" spans="1:65" s="411" customFormat="1" ht="15.6" x14ac:dyDescent="0.3">
      <c r="A1" s="406"/>
      <c r="B1" s="406"/>
      <c r="C1" s="406"/>
      <c r="D1" s="406"/>
      <c r="E1" s="406"/>
      <c r="F1" s="412"/>
      <c r="G1" s="412"/>
      <c r="H1" s="412"/>
      <c r="I1" s="412"/>
      <c r="J1" s="412"/>
      <c r="K1" s="412"/>
      <c r="L1" s="412"/>
      <c r="M1" s="412"/>
      <c r="N1" s="412"/>
      <c r="O1" s="412"/>
      <c r="P1" s="412"/>
      <c r="Q1" s="412"/>
      <c r="R1" s="412"/>
      <c r="S1" s="412"/>
      <c r="T1" s="412"/>
      <c r="U1" s="412"/>
      <c r="V1" s="406"/>
      <c r="W1" s="406"/>
      <c r="X1" s="406"/>
      <c r="Y1" s="406"/>
      <c r="Z1" s="406"/>
      <c r="AA1" s="406"/>
      <c r="AB1" s="406"/>
      <c r="AC1" s="406"/>
      <c r="AD1" s="406"/>
      <c r="AE1" s="406"/>
      <c r="AF1" s="406"/>
      <c r="AG1" s="406"/>
      <c r="AH1" s="406"/>
      <c r="AI1" s="406"/>
    </row>
    <row r="2" spans="1:65" ht="18" x14ac:dyDescent="0.35">
      <c r="A2" s="406"/>
      <c r="B2" s="164" t="s">
        <v>63</v>
      </c>
      <c r="C2" s="165"/>
      <c r="D2" s="165"/>
      <c r="E2" s="166"/>
      <c r="F2" s="436"/>
      <c r="G2" s="436"/>
      <c r="H2" s="436"/>
      <c r="I2" s="436"/>
      <c r="J2" s="436"/>
      <c r="K2" s="436"/>
      <c r="L2" s="436"/>
      <c r="M2" s="436"/>
      <c r="N2" s="436"/>
      <c r="O2" s="436"/>
      <c r="P2" s="436"/>
      <c r="Q2" s="436"/>
      <c r="R2" s="436"/>
      <c r="S2" s="436"/>
      <c r="T2" s="436"/>
      <c r="U2" s="436"/>
      <c r="V2" s="437"/>
      <c r="W2" s="406"/>
      <c r="X2" s="406"/>
      <c r="Y2" s="406"/>
      <c r="Z2" s="406"/>
      <c r="AA2" s="406"/>
      <c r="AB2" s="406"/>
      <c r="AC2" s="406"/>
      <c r="AD2" s="406"/>
      <c r="AE2" s="406"/>
      <c r="AF2" s="406"/>
      <c r="AG2" s="406"/>
      <c r="AH2" s="406"/>
      <c r="AI2" s="406"/>
      <c r="AR2" s="411"/>
      <c r="AS2" s="411"/>
      <c r="AT2" s="411"/>
      <c r="AU2" s="411"/>
      <c r="AV2" s="411"/>
      <c r="AW2" s="411"/>
      <c r="AX2" s="411"/>
      <c r="AY2" s="411"/>
      <c r="AZ2" s="411"/>
      <c r="BA2" s="411"/>
      <c r="BB2" s="411"/>
      <c r="BC2" s="411"/>
      <c r="BD2" s="411"/>
      <c r="BE2" s="411"/>
      <c r="BF2" s="411"/>
      <c r="BG2" s="411"/>
      <c r="BH2" s="411"/>
      <c r="BI2" s="411"/>
      <c r="BJ2" s="411"/>
      <c r="BK2" s="411"/>
      <c r="BL2" s="411"/>
      <c r="BM2" s="411"/>
    </row>
    <row r="3" spans="1:65" ht="15.6" x14ac:dyDescent="0.3">
      <c r="A3" s="406"/>
      <c r="B3" s="167" t="s">
        <v>123</v>
      </c>
      <c r="C3" s="138"/>
      <c r="D3" s="138"/>
      <c r="E3" s="168"/>
      <c r="F3" s="438"/>
      <c r="G3" s="438"/>
      <c r="H3" s="438"/>
      <c r="I3" s="438"/>
      <c r="J3" s="438"/>
      <c r="K3" s="438"/>
      <c r="L3" s="438"/>
      <c r="M3" s="438"/>
      <c r="N3" s="438"/>
      <c r="O3" s="438"/>
      <c r="P3" s="438"/>
      <c r="Q3" s="438"/>
      <c r="R3" s="438"/>
      <c r="S3" s="438"/>
      <c r="T3" s="438"/>
      <c r="U3" s="438"/>
      <c r="V3" s="423"/>
      <c r="W3" s="406"/>
      <c r="X3" s="406"/>
      <c r="Y3" s="406"/>
      <c r="Z3" s="406"/>
      <c r="AA3" s="406"/>
      <c r="AB3" s="406"/>
      <c r="AC3" s="406"/>
      <c r="AD3" s="406"/>
      <c r="AE3" s="406"/>
      <c r="AF3" s="406"/>
      <c r="AG3" s="406"/>
      <c r="AH3" s="406"/>
      <c r="AI3" s="406"/>
      <c r="AR3" s="411"/>
      <c r="AS3" s="411"/>
      <c r="AT3" s="411"/>
      <c r="AU3" s="411"/>
      <c r="AV3" s="411"/>
      <c r="AW3" s="411"/>
      <c r="AX3" s="411"/>
      <c r="AY3" s="411"/>
      <c r="AZ3" s="411"/>
      <c r="BA3" s="411"/>
      <c r="BB3" s="411"/>
      <c r="BC3" s="411"/>
      <c r="BD3" s="411"/>
      <c r="BE3" s="411"/>
      <c r="BF3" s="411"/>
      <c r="BG3" s="411"/>
      <c r="BH3" s="411"/>
      <c r="BI3" s="411"/>
      <c r="BJ3" s="411"/>
      <c r="BK3" s="411"/>
      <c r="BL3" s="411"/>
      <c r="BM3" s="411"/>
    </row>
    <row r="4" spans="1:65" ht="15.6" x14ac:dyDescent="0.3">
      <c r="A4" s="406"/>
      <c r="B4" s="139" t="s">
        <v>16</v>
      </c>
      <c r="C4" s="169"/>
      <c r="D4" s="170"/>
      <c r="E4" s="171"/>
      <c r="F4" s="406"/>
      <c r="G4" s="406"/>
      <c r="H4" s="406"/>
      <c r="I4" s="406"/>
      <c r="J4" s="406"/>
      <c r="K4" s="406"/>
      <c r="L4" s="406"/>
      <c r="M4" s="406"/>
      <c r="N4" s="406"/>
      <c r="O4" s="406"/>
      <c r="P4" s="406"/>
      <c r="Q4" s="406"/>
      <c r="R4" s="406"/>
      <c r="S4" s="406"/>
      <c r="T4" s="406"/>
      <c r="U4" s="406"/>
      <c r="V4" s="439"/>
      <c r="W4" s="406"/>
      <c r="X4" s="406"/>
      <c r="Y4" s="406"/>
      <c r="Z4" s="406"/>
      <c r="AA4" s="406"/>
      <c r="AB4" s="406"/>
      <c r="AC4" s="406"/>
      <c r="AD4" s="406"/>
      <c r="AE4" s="406"/>
      <c r="AF4" s="406"/>
      <c r="AG4" s="406"/>
      <c r="AH4" s="406"/>
      <c r="AI4" s="406"/>
      <c r="AR4" s="411"/>
      <c r="AS4" s="411"/>
      <c r="AT4" s="411"/>
      <c r="AU4" s="411"/>
      <c r="AV4" s="411"/>
      <c r="AW4" s="411"/>
      <c r="AX4" s="411"/>
      <c r="AY4" s="411"/>
      <c r="AZ4" s="411"/>
      <c r="BA4" s="411"/>
      <c r="BB4" s="411"/>
      <c r="BC4" s="411"/>
      <c r="BD4" s="411"/>
      <c r="BE4" s="411"/>
      <c r="BF4" s="411"/>
      <c r="BG4" s="411"/>
      <c r="BH4" s="411"/>
      <c r="BI4" s="411"/>
      <c r="BJ4" s="411"/>
      <c r="BK4" s="411"/>
      <c r="BL4" s="411"/>
      <c r="BM4" s="411"/>
    </row>
    <row r="5" spans="1:65" ht="20.100000000000001" customHeight="1" x14ac:dyDescent="0.3">
      <c r="A5" s="406"/>
      <c r="B5" s="399" t="s">
        <v>160</v>
      </c>
      <c r="C5" s="169"/>
      <c r="D5" s="140"/>
      <c r="E5" s="171"/>
      <c r="F5" s="406"/>
      <c r="G5" s="406"/>
      <c r="H5" s="406"/>
      <c r="I5" s="406"/>
      <c r="J5" s="406"/>
      <c r="K5" s="406"/>
      <c r="L5" s="406"/>
      <c r="M5" s="406"/>
      <c r="N5" s="406"/>
      <c r="O5" s="406"/>
      <c r="P5" s="406"/>
      <c r="Q5" s="406"/>
      <c r="R5" s="406"/>
      <c r="S5" s="406"/>
      <c r="T5" s="406"/>
      <c r="U5" s="406"/>
      <c r="V5" s="423"/>
      <c r="W5" s="406"/>
      <c r="X5" s="406"/>
      <c r="Y5" s="423"/>
      <c r="Z5" s="406"/>
      <c r="AA5" s="406"/>
      <c r="AB5" s="406"/>
      <c r="AC5" s="406"/>
      <c r="AD5" s="406"/>
      <c r="AE5" s="406"/>
      <c r="AF5" s="406"/>
      <c r="AG5" s="406"/>
      <c r="AH5" s="406"/>
      <c r="AI5" s="406"/>
      <c r="AR5" s="411"/>
      <c r="AS5" s="411"/>
      <c r="AT5" s="411"/>
      <c r="AU5" s="411"/>
      <c r="AV5" s="411"/>
      <c r="AW5" s="411"/>
      <c r="AX5" s="411"/>
      <c r="AY5" s="411"/>
      <c r="AZ5" s="411"/>
      <c r="BA5" s="411"/>
      <c r="BB5" s="411"/>
      <c r="BC5" s="411"/>
      <c r="BD5" s="411"/>
      <c r="BE5" s="411"/>
      <c r="BF5" s="411"/>
      <c r="BG5" s="411"/>
      <c r="BH5" s="411"/>
      <c r="BI5" s="411"/>
      <c r="BJ5" s="411"/>
      <c r="BK5" s="411"/>
      <c r="BL5" s="411"/>
      <c r="BM5" s="411"/>
    </row>
    <row r="6" spans="1:65" ht="20.100000000000001" customHeight="1" x14ac:dyDescent="0.3">
      <c r="A6" s="406"/>
      <c r="B6" s="399" t="s">
        <v>46</v>
      </c>
      <c r="C6" s="617" t="s">
        <v>75</v>
      </c>
      <c r="D6" s="371">
        <f>VLOOKUP(C6,B26:C28,2,0)</f>
        <v>1</v>
      </c>
      <c r="E6" s="172"/>
      <c r="U6" s="611"/>
      <c r="V6" s="423"/>
      <c r="W6" s="406"/>
      <c r="X6" s="406"/>
      <c r="Y6" s="423"/>
      <c r="Z6" s="406"/>
      <c r="AA6" s="406"/>
      <c r="AB6" s="406"/>
      <c r="AC6" s="406"/>
      <c r="AD6" s="406"/>
      <c r="AE6" s="406"/>
      <c r="AF6" s="406"/>
      <c r="AG6" s="406"/>
      <c r="AH6" s="406"/>
      <c r="AI6" s="406"/>
      <c r="AR6" s="411"/>
      <c r="AS6" s="411"/>
      <c r="AT6" s="411"/>
      <c r="AU6" s="411"/>
      <c r="AV6" s="411"/>
      <c r="AW6" s="411"/>
      <c r="AX6" s="411"/>
      <c r="AY6" s="411"/>
      <c r="AZ6" s="411"/>
      <c r="BA6" s="411"/>
      <c r="BB6" s="411"/>
      <c r="BC6" s="411"/>
      <c r="BD6" s="411"/>
      <c r="BE6" s="411"/>
      <c r="BF6" s="411"/>
      <c r="BG6" s="411"/>
      <c r="BH6" s="411"/>
      <c r="BI6" s="411"/>
      <c r="BJ6" s="411"/>
      <c r="BK6" s="411"/>
      <c r="BL6" s="411"/>
      <c r="BM6" s="411"/>
    </row>
    <row r="7" spans="1:65" ht="21.75" customHeight="1" x14ac:dyDescent="0.3">
      <c r="A7" s="406"/>
      <c r="B7" s="399" t="s">
        <v>203</v>
      </c>
      <c r="C7" s="618">
        <v>0</v>
      </c>
      <c r="D7" s="362">
        <f>IF(C$17=0,0,IF(C6=B26,C7,IF(C6=B27,C8,C7+C8+C9)))</f>
        <v>0</v>
      </c>
      <c r="E7" s="591" t="s">
        <v>124</v>
      </c>
      <c r="F7" s="440"/>
      <c r="G7" s="527"/>
      <c r="H7" s="527"/>
      <c r="I7" s="527"/>
      <c r="J7" s="527"/>
      <c r="K7" s="527"/>
      <c r="L7" s="527"/>
      <c r="M7" s="527"/>
      <c r="N7" s="527"/>
      <c r="O7" s="527"/>
      <c r="P7" s="527"/>
      <c r="Q7" s="527"/>
      <c r="R7" s="527"/>
      <c r="S7" s="527"/>
      <c r="T7" s="527"/>
      <c r="U7" s="527"/>
      <c r="V7" s="406"/>
      <c r="W7" s="423"/>
      <c r="X7" s="406"/>
      <c r="Y7" s="406"/>
      <c r="Z7" s="423"/>
      <c r="AA7" s="406"/>
      <c r="AB7" s="406"/>
      <c r="AC7" s="406"/>
      <c r="AD7" s="406"/>
      <c r="AE7" s="406"/>
      <c r="AF7" s="406"/>
      <c r="AG7" s="406"/>
      <c r="AH7" s="406"/>
      <c r="AI7" s="406"/>
      <c r="AR7" s="411"/>
      <c r="AS7" s="411"/>
      <c r="AT7" s="411"/>
      <c r="AU7" s="411"/>
      <c r="AV7" s="411"/>
      <c r="AW7" s="411"/>
      <c r="AX7" s="411"/>
      <c r="AY7" s="411"/>
      <c r="AZ7" s="411"/>
      <c r="BA7" s="411"/>
      <c r="BB7" s="411"/>
      <c r="BC7" s="411"/>
      <c r="BD7" s="411"/>
      <c r="BE7" s="411"/>
      <c r="BF7" s="411"/>
      <c r="BG7" s="411"/>
      <c r="BH7" s="411"/>
      <c r="BI7" s="411"/>
      <c r="BJ7" s="411"/>
      <c r="BK7" s="411"/>
      <c r="BL7" s="411"/>
      <c r="BM7" s="411"/>
    </row>
    <row r="8" spans="1:65" ht="20.100000000000001" customHeight="1" x14ac:dyDescent="0.3">
      <c r="A8" s="407"/>
      <c r="B8" s="399" t="s">
        <v>141</v>
      </c>
      <c r="C8" s="618">
        <v>0</v>
      </c>
      <c r="D8" s="364">
        <f>IF(C8=0,0, 10)</f>
        <v>0</v>
      </c>
      <c r="E8" s="350" t="s">
        <v>204</v>
      </c>
      <c r="F8" s="441"/>
      <c r="G8" s="528"/>
      <c r="H8" s="528"/>
      <c r="I8" s="528"/>
      <c r="J8" s="528"/>
      <c r="K8" s="528"/>
      <c r="L8" s="528"/>
      <c r="M8" s="528"/>
      <c r="N8" s="528"/>
      <c r="O8" s="528"/>
      <c r="P8" s="528"/>
      <c r="Q8" s="528"/>
      <c r="R8" s="528"/>
      <c r="S8" s="528"/>
      <c r="T8" s="528"/>
      <c r="U8" s="528"/>
      <c r="V8" s="406"/>
      <c r="W8" s="423"/>
      <c r="X8" s="406"/>
      <c r="Y8" s="406"/>
      <c r="Z8" s="423"/>
      <c r="AA8" s="406"/>
      <c r="AB8" s="406"/>
      <c r="AC8" s="406"/>
      <c r="AD8" s="406"/>
      <c r="AE8" s="406"/>
      <c r="AF8" s="406"/>
      <c r="AG8" s="406"/>
      <c r="AH8" s="406"/>
      <c r="AI8" s="406"/>
      <c r="AR8" s="411"/>
      <c r="AS8" s="411"/>
      <c r="AT8" s="411"/>
      <c r="AU8" s="411"/>
      <c r="AV8" s="411"/>
      <c r="AW8" s="411"/>
      <c r="AX8" s="411"/>
      <c r="AY8" s="411"/>
      <c r="AZ8" s="411"/>
      <c r="BA8" s="411"/>
      <c r="BB8" s="411"/>
      <c r="BC8" s="411"/>
      <c r="BD8" s="411"/>
      <c r="BE8" s="411"/>
      <c r="BF8" s="411"/>
      <c r="BG8" s="411"/>
      <c r="BH8" s="411"/>
      <c r="BI8" s="411"/>
      <c r="BJ8" s="411"/>
      <c r="BK8" s="411"/>
      <c r="BL8" s="411"/>
      <c r="BM8" s="411"/>
    </row>
    <row r="9" spans="1:65" ht="20.100000000000001" customHeight="1" x14ac:dyDescent="0.3">
      <c r="A9" s="407"/>
      <c r="B9" s="399" t="s">
        <v>142</v>
      </c>
      <c r="C9" s="618">
        <v>0</v>
      </c>
      <c r="D9" s="364">
        <f>IF(C9=0,0,C9)</f>
        <v>0</v>
      </c>
      <c r="E9" s="350"/>
      <c r="F9" s="442"/>
      <c r="G9" s="442"/>
      <c r="H9" s="442"/>
      <c r="I9" s="442"/>
      <c r="J9" s="442"/>
      <c r="K9" s="442"/>
      <c r="L9" s="442"/>
      <c r="M9" s="442"/>
      <c r="N9" s="442"/>
      <c r="O9" s="442"/>
      <c r="P9" s="442"/>
      <c r="Q9" s="442"/>
      <c r="R9" s="442"/>
      <c r="S9" s="442"/>
      <c r="T9" s="442"/>
      <c r="U9" s="611"/>
      <c r="V9" s="406"/>
      <c r="W9" s="423"/>
      <c r="X9" s="406"/>
      <c r="Y9" s="406"/>
      <c r="Z9" s="423"/>
      <c r="AA9" s="406"/>
      <c r="AB9" s="406"/>
      <c r="AC9" s="406"/>
      <c r="AD9" s="406"/>
      <c r="AE9" s="406"/>
      <c r="AF9" s="406"/>
      <c r="AG9" s="406"/>
      <c r="AH9" s="406"/>
      <c r="AI9" s="406"/>
      <c r="AR9" s="411"/>
      <c r="AS9" s="411"/>
      <c r="AT9" s="411"/>
      <c r="AU9" s="411"/>
      <c r="AV9" s="411"/>
      <c r="AW9" s="411"/>
      <c r="AX9" s="411"/>
      <c r="AY9" s="411"/>
      <c r="AZ9" s="411"/>
      <c r="BA9" s="411"/>
      <c r="BB9" s="411"/>
      <c r="BC9" s="411"/>
      <c r="BD9" s="411"/>
      <c r="BE9" s="411"/>
      <c r="BF9" s="411"/>
      <c r="BG9" s="411"/>
      <c r="BH9" s="411"/>
      <c r="BI9" s="411"/>
      <c r="BJ9" s="411"/>
      <c r="BK9" s="411"/>
      <c r="BL9" s="411"/>
      <c r="BM9" s="411"/>
    </row>
    <row r="10" spans="1:65" ht="20.100000000000001" customHeight="1" x14ac:dyDescent="0.3">
      <c r="A10" s="407"/>
      <c r="B10" s="291" t="s">
        <v>152</v>
      </c>
      <c r="C10" s="620"/>
      <c r="D10" s="391">
        <f>D11</f>
        <v>1</v>
      </c>
      <c r="E10" s="351"/>
      <c r="F10" s="451"/>
      <c r="G10" s="451"/>
      <c r="H10" s="451"/>
      <c r="I10" s="451"/>
      <c r="J10" s="451"/>
      <c r="K10" s="451"/>
      <c r="L10" s="451"/>
      <c r="M10" s="451"/>
      <c r="N10" s="451"/>
      <c r="O10" s="451"/>
      <c r="P10" s="451"/>
      <c r="Q10" s="451"/>
      <c r="R10" s="451"/>
      <c r="S10" s="451"/>
      <c r="T10" s="443"/>
      <c r="U10" s="443"/>
      <c r="V10" s="406"/>
      <c r="W10" s="423"/>
      <c r="X10" s="406"/>
      <c r="Y10" s="406"/>
      <c r="Z10" s="423"/>
      <c r="AA10" s="406"/>
      <c r="AB10" s="406"/>
      <c r="AC10" s="406"/>
      <c r="AD10" s="406"/>
      <c r="AE10" s="406"/>
      <c r="AF10" s="406"/>
      <c r="AG10" s="406"/>
      <c r="AH10" s="406"/>
      <c r="AI10" s="406"/>
      <c r="AR10" s="411"/>
      <c r="AS10" s="411"/>
      <c r="AT10" s="411"/>
      <c r="AU10" s="411"/>
      <c r="AV10" s="411"/>
      <c r="AW10" s="411"/>
      <c r="AX10" s="411"/>
      <c r="AY10" s="411"/>
      <c r="AZ10" s="411"/>
      <c r="BA10" s="411"/>
      <c r="BB10" s="411"/>
      <c r="BC10" s="411"/>
      <c r="BD10" s="411"/>
      <c r="BE10" s="411"/>
      <c r="BF10" s="411"/>
      <c r="BG10" s="411"/>
      <c r="BH10" s="411"/>
      <c r="BI10" s="411"/>
      <c r="BJ10" s="411"/>
      <c r="BK10" s="411"/>
      <c r="BL10" s="411"/>
      <c r="BM10" s="411"/>
    </row>
    <row r="11" spans="1:65" ht="20.100000000000001" customHeight="1" x14ac:dyDescent="0.3">
      <c r="A11" s="407"/>
      <c r="B11" s="397" t="s">
        <v>222</v>
      </c>
      <c r="C11" s="617" t="s">
        <v>232</v>
      </c>
      <c r="D11" s="398">
        <f>VLOOKUP(C11,B44:C47,2,0)</f>
        <v>1</v>
      </c>
      <c r="E11" s="392"/>
      <c r="F11" s="489"/>
      <c r="G11" s="489"/>
      <c r="H11" s="489"/>
      <c r="I11" s="489"/>
      <c r="J11" s="489"/>
      <c r="K11" s="489"/>
      <c r="L11" s="489"/>
      <c r="M11" s="489"/>
      <c r="N11" s="489"/>
      <c r="O11" s="489"/>
      <c r="P11" s="489"/>
      <c r="Q11" s="489"/>
      <c r="R11" s="489"/>
      <c r="S11" s="489"/>
      <c r="V11" s="406"/>
      <c r="W11" s="423"/>
      <c r="X11" s="406"/>
      <c r="Y11" s="406"/>
      <c r="Z11" s="423"/>
      <c r="AA11" s="406"/>
      <c r="AB11" s="406"/>
      <c r="AC11" s="406"/>
      <c r="AD11" s="406"/>
      <c r="AE11" s="406"/>
      <c r="AF11" s="406"/>
      <c r="AG11" s="406"/>
      <c r="AH11" s="406"/>
      <c r="AI11" s="406"/>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row>
    <row r="12" spans="1:65" ht="20.100000000000001" customHeight="1" x14ac:dyDescent="0.3">
      <c r="A12" s="407"/>
      <c r="B12" s="291" t="s">
        <v>114</v>
      </c>
      <c r="C12" s="621"/>
      <c r="D12" s="356">
        <f>IF(C6=B26,D13,IF(C8=0,0,IF(C6=B27,D14*D15*D16,D13*D14*D15*D16)))</f>
        <v>0</v>
      </c>
      <c r="E12" s="363" t="str">
        <f>IF(D$12=0,"Not valid","implies "&amp; ROUND(46/(D$12),0) &amp; " acres/bat")</f>
        <v>Not valid</v>
      </c>
      <c r="F12" s="489"/>
      <c r="G12" s="489"/>
      <c r="H12" s="489"/>
      <c r="I12" s="489"/>
      <c r="J12" s="489"/>
      <c r="K12" s="489"/>
      <c r="L12" s="489"/>
      <c r="M12" s="489"/>
      <c r="N12" s="489"/>
      <c r="O12" s="489"/>
      <c r="P12" s="489"/>
      <c r="Q12" s="489"/>
      <c r="R12" s="489"/>
      <c r="S12" s="489"/>
      <c r="U12" s="625"/>
      <c r="V12" s="412"/>
      <c r="W12" s="406"/>
      <c r="X12" s="423"/>
      <c r="Y12" s="406"/>
      <c r="Z12" s="423"/>
      <c r="AA12" s="406"/>
      <c r="AB12" s="406"/>
      <c r="AC12" s="406"/>
      <c r="AD12" s="406"/>
      <c r="AE12" s="406"/>
      <c r="AF12" s="406"/>
      <c r="AG12" s="406"/>
      <c r="AH12" s="406"/>
      <c r="AI12" s="406"/>
      <c r="AJ12" s="406"/>
      <c r="AR12" s="411"/>
      <c r="AS12" s="411"/>
      <c r="AT12" s="411"/>
      <c r="AU12" s="411"/>
      <c r="AV12" s="411"/>
      <c r="AW12" s="411"/>
      <c r="AX12" s="411"/>
      <c r="AY12" s="411"/>
      <c r="AZ12" s="411"/>
      <c r="BA12" s="411"/>
      <c r="BB12" s="411"/>
      <c r="BC12" s="411"/>
      <c r="BD12" s="411"/>
      <c r="BE12" s="411"/>
      <c r="BF12" s="411"/>
      <c r="BG12" s="411"/>
      <c r="BH12" s="411"/>
      <c r="BI12" s="411"/>
      <c r="BJ12" s="411"/>
      <c r="BK12" s="411"/>
      <c r="BL12" s="411"/>
      <c r="BM12" s="411"/>
    </row>
    <row r="13" spans="1:65" ht="20.100000000000001" customHeight="1" x14ac:dyDescent="0.3">
      <c r="A13" s="407"/>
      <c r="B13" s="290" t="s">
        <v>230</v>
      </c>
      <c r="C13" s="619" t="s">
        <v>21</v>
      </c>
      <c r="D13" s="355">
        <f>IF(C13="no", 0,1)</f>
        <v>1</v>
      </c>
      <c r="E13" s="352"/>
      <c r="U13" s="625"/>
      <c r="V13" s="444"/>
      <c r="W13" s="450"/>
      <c r="X13" s="450"/>
      <c r="Y13" s="423"/>
      <c r="Z13" s="406"/>
      <c r="AA13" s="406"/>
      <c r="AB13" s="406"/>
      <c r="AC13" s="406"/>
      <c r="AD13" s="406"/>
      <c r="AE13" s="406"/>
      <c r="AF13" s="406"/>
      <c r="AG13" s="406"/>
      <c r="AH13" s="406"/>
      <c r="AI13" s="406"/>
      <c r="AR13" s="411"/>
      <c r="AS13" s="411"/>
      <c r="AT13" s="411"/>
      <c r="AU13" s="411"/>
      <c r="AV13" s="411"/>
      <c r="AW13" s="411"/>
      <c r="AX13" s="411"/>
      <c r="AY13" s="411"/>
      <c r="AZ13" s="411"/>
      <c r="BA13" s="411"/>
      <c r="BB13" s="411"/>
      <c r="BC13" s="411"/>
      <c r="BD13" s="411"/>
      <c r="BE13" s="411"/>
      <c r="BF13" s="411"/>
      <c r="BG13" s="411"/>
      <c r="BH13" s="411"/>
      <c r="BI13" s="411"/>
      <c r="BJ13" s="411"/>
      <c r="BK13" s="411"/>
      <c r="BL13" s="411"/>
      <c r="BM13" s="411"/>
    </row>
    <row r="14" spans="1:65" ht="20.100000000000001" customHeight="1" x14ac:dyDescent="0.3">
      <c r="A14" s="407"/>
      <c r="B14" s="395" t="s">
        <v>236</v>
      </c>
      <c r="C14" s="622" t="s">
        <v>21</v>
      </c>
      <c r="D14" s="357">
        <f>VLOOKUP(C14,B36:C37,2,0)</f>
        <v>1</v>
      </c>
      <c r="E14" s="353"/>
      <c r="U14" s="625"/>
      <c r="V14" s="445"/>
      <c r="W14" s="451"/>
      <c r="X14" s="406"/>
      <c r="Y14" s="423"/>
      <c r="Z14" s="406"/>
      <c r="AA14" s="406"/>
      <c r="AB14" s="406"/>
      <c r="AC14" s="406"/>
      <c r="AD14" s="406"/>
      <c r="AE14" s="406"/>
      <c r="AF14" s="406"/>
      <c r="AG14" s="406"/>
      <c r="AH14" s="406"/>
      <c r="AI14" s="406"/>
      <c r="AR14" s="411"/>
      <c r="AS14" s="411"/>
      <c r="AT14" s="411"/>
      <c r="AU14" s="411"/>
      <c r="AV14" s="411"/>
      <c r="AW14" s="411"/>
      <c r="AX14" s="411"/>
      <c r="AY14" s="411"/>
      <c r="AZ14" s="411"/>
      <c r="BA14" s="411"/>
      <c r="BB14" s="411"/>
      <c r="BC14" s="411"/>
      <c r="BD14" s="411"/>
      <c r="BE14" s="411"/>
      <c r="BF14" s="411"/>
      <c r="BG14" s="411"/>
      <c r="BH14" s="411"/>
      <c r="BI14" s="411"/>
      <c r="BJ14" s="411"/>
      <c r="BK14" s="411"/>
      <c r="BL14" s="411"/>
      <c r="BM14" s="411"/>
    </row>
    <row r="15" spans="1:65" ht="20.100000000000001" customHeight="1" x14ac:dyDescent="0.3">
      <c r="A15" s="407"/>
      <c r="B15" s="289" t="s">
        <v>237</v>
      </c>
      <c r="C15" s="622" t="s">
        <v>21</v>
      </c>
      <c r="D15" s="357">
        <f>VLOOKUP(C15,B40:C41,2,0)</f>
        <v>1</v>
      </c>
      <c r="E15" s="352"/>
      <c r="V15" s="446"/>
      <c r="W15" s="451"/>
      <c r="X15" s="406"/>
      <c r="Y15" s="452"/>
      <c r="Z15" s="406"/>
      <c r="AA15" s="406"/>
      <c r="AB15" s="406"/>
      <c r="AC15" s="406"/>
      <c r="AD15" s="406"/>
      <c r="AE15" s="406"/>
      <c r="AF15" s="406"/>
      <c r="AG15" s="406"/>
      <c r="AH15" s="406"/>
      <c r="AI15" s="406"/>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row>
    <row r="16" spans="1:65" ht="20.100000000000001" customHeight="1" x14ac:dyDescent="0.3">
      <c r="A16" s="407"/>
      <c r="B16" s="339" t="s">
        <v>228</v>
      </c>
      <c r="C16" s="623" t="s">
        <v>21</v>
      </c>
      <c r="D16" s="358">
        <f>IF(C16="yes",1,0)</f>
        <v>1</v>
      </c>
      <c r="E16" s="354"/>
      <c r="V16" s="446"/>
      <c r="W16" s="451"/>
      <c r="X16" s="406"/>
      <c r="Y16" s="452"/>
      <c r="Z16" s="406"/>
      <c r="AA16" s="406"/>
      <c r="AB16" s="406"/>
      <c r="AC16" s="406"/>
      <c r="AD16" s="406"/>
      <c r="AE16" s="406"/>
      <c r="AF16" s="406"/>
      <c r="AG16" s="406"/>
      <c r="AH16" s="406"/>
      <c r="AI16" s="406"/>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row>
    <row r="17" spans="1:65" ht="20.100000000000001" customHeight="1" x14ac:dyDescent="0.3">
      <c r="A17" s="407"/>
      <c r="B17" s="340" t="s">
        <v>48</v>
      </c>
      <c r="C17" s="349">
        <f>D17</f>
        <v>0</v>
      </c>
      <c r="D17" s="592">
        <f>IF(C6=B26,C7/46*(D12*D10*D6),IF(C6=B27,D12*D8/46*(D12*D6),(C7+D8+D9)/46*(D6*D10*D12)))</f>
        <v>0</v>
      </c>
      <c r="E17" s="593" t="s">
        <v>49</v>
      </c>
      <c r="V17" s="423"/>
      <c r="W17" s="451"/>
      <c r="X17" s="406"/>
      <c r="Y17" s="452"/>
      <c r="Z17" s="406"/>
      <c r="AA17" s="406"/>
      <c r="AB17" s="406"/>
      <c r="AC17" s="406"/>
      <c r="AD17" s="406"/>
      <c r="AE17" s="406"/>
      <c r="AF17" s="406"/>
      <c r="AG17" s="406"/>
      <c r="AH17" s="406"/>
      <c r="AI17" s="406"/>
      <c r="AR17" s="411"/>
      <c r="AS17" s="411"/>
      <c r="AT17" s="411"/>
      <c r="AU17" s="411"/>
      <c r="AV17" s="411"/>
      <c r="AW17" s="411"/>
      <c r="AX17" s="411"/>
      <c r="AY17" s="411"/>
      <c r="AZ17" s="411"/>
      <c r="BA17" s="411"/>
      <c r="BB17" s="411"/>
      <c r="BC17" s="411"/>
      <c r="BD17" s="411"/>
      <c r="BE17" s="411"/>
      <c r="BF17" s="411"/>
      <c r="BG17" s="411"/>
      <c r="BH17" s="411"/>
      <c r="BI17" s="411"/>
      <c r="BJ17" s="411"/>
      <c r="BK17" s="411"/>
      <c r="BL17" s="411"/>
      <c r="BM17" s="411"/>
    </row>
    <row r="18" spans="1:65" s="411" customFormat="1" ht="20.100000000000001" customHeight="1" x14ac:dyDescent="0.3">
      <c r="A18" s="407"/>
      <c r="B18" s="413"/>
      <c r="C18" s="414"/>
      <c r="D18" s="589"/>
      <c r="E18" s="590"/>
      <c r="F18" s="416"/>
      <c r="G18" s="416"/>
      <c r="H18" s="416"/>
      <c r="I18" s="416"/>
      <c r="J18" s="416"/>
      <c r="K18" s="416"/>
      <c r="L18" s="416"/>
      <c r="M18" s="416"/>
      <c r="N18" s="416"/>
      <c r="O18" s="416"/>
      <c r="P18" s="416"/>
      <c r="Q18" s="416"/>
      <c r="R18" s="416"/>
      <c r="S18" s="416"/>
      <c r="T18" s="416"/>
      <c r="U18" s="416"/>
      <c r="V18" s="406"/>
      <c r="W18" s="423"/>
      <c r="X18" s="451"/>
      <c r="Y18" s="453"/>
      <c r="Z18" s="423"/>
      <c r="AA18" s="406"/>
      <c r="AB18" s="406"/>
      <c r="AC18" s="406"/>
      <c r="AD18" s="406"/>
      <c r="AE18" s="406"/>
      <c r="AF18" s="406"/>
      <c r="AG18" s="406"/>
      <c r="AH18" s="406"/>
      <c r="AI18" s="406"/>
      <c r="AJ18" s="406"/>
    </row>
    <row r="19" spans="1:65" s="411" customFormat="1" ht="20.100000000000001" customHeight="1" x14ac:dyDescent="0.3">
      <c r="A19" s="407"/>
      <c r="B19" s="419"/>
      <c r="C19" s="420"/>
      <c r="D19" s="415"/>
      <c r="E19" s="415"/>
      <c r="F19" s="416"/>
      <c r="G19" s="416"/>
      <c r="H19" s="416"/>
      <c r="I19" s="416"/>
      <c r="J19" s="416"/>
      <c r="K19" s="416"/>
      <c r="L19" s="416"/>
      <c r="M19" s="416"/>
      <c r="N19" s="416"/>
      <c r="O19" s="416"/>
      <c r="P19" s="416"/>
      <c r="Q19" s="416"/>
      <c r="R19" s="416"/>
      <c r="S19" s="416"/>
      <c r="T19" s="416"/>
      <c r="U19" s="416"/>
      <c r="V19" s="417"/>
      <c r="W19" s="418"/>
      <c r="X19" s="418"/>
      <c r="Y19" s="418"/>
      <c r="Z19" s="418"/>
      <c r="AA19" s="418"/>
      <c r="AB19" s="406"/>
      <c r="AC19" s="406"/>
      <c r="AD19" s="406"/>
      <c r="AE19" s="406"/>
      <c r="AF19" s="406"/>
      <c r="AG19" s="406"/>
      <c r="AH19" s="406"/>
      <c r="AI19" s="406"/>
    </row>
    <row r="20" spans="1:65" s="411" customFormat="1" ht="20.100000000000001" customHeight="1" x14ac:dyDescent="0.3">
      <c r="A20" s="406"/>
      <c r="B20" s="425"/>
      <c r="C20" s="426"/>
      <c r="D20" s="421"/>
      <c r="E20" s="421"/>
      <c r="F20" s="406"/>
      <c r="G20" s="406"/>
      <c r="H20" s="406"/>
      <c r="I20" s="406"/>
      <c r="J20" s="406"/>
      <c r="K20" s="406"/>
      <c r="L20" s="406"/>
      <c r="M20" s="406"/>
      <c r="N20" s="406"/>
      <c r="O20" s="406"/>
      <c r="P20" s="406"/>
      <c r="Q20" s="406"/>
      <c r="R20" s="406"/>
      <c r="S20" s="406"/>
      <c r="T20" s="406"/>
      <c r="U20" s="406"/>
      <c r="V20" s="422"/>
      <c r="W20" s="423"/>
      <c r="X20" s="424"/>
      <c r="Y20" s="423"/>
      <c r="Z20" s="406"/>
      <c r="AA20" s="406"/>
      <c r="AB20" s="407"/>
      <c r="AC20" s="407"/>
      <c r="AD20" s="407"/>
      <c r="AE20" s="407"/>
      <c r="AF20" s="407"/>
      <c r="AG20" s="407"/>
      <c r="AH20" s="407"/>
      <c r="AI20" s="407"/>
    </row>
    <row r="21" spans="1:65" s="411" customFormat="1" ht="20.100000000000001" customHeight="1" x14ac:dyDescent="0.3">
      <c r="A21" s="406"/>
      <c r="B21" s="428"/>
      <c r="C21" s="429"/>
      <c r="D21" s="421"/>
      <c r="E21" s="421"/>
      <c r="F21" s="406"/>
      <c r="G21" s="406"/>
      <c r="H21" s="406"/>
      <c r="I21" s="406"/>
      <c r="J21" s="406"/>
      <c r="K21" s="406"/>
      <c r="L21" s="406"/>
      <c r="M21" s="406"/>
      <c r="N21" s="406"/>
      <c r="O21" s="406"/>
      <c r="P21" s="406"/>
      <c r="Q21" s="406"/>
      <c r="R21" s="406"/>
      <c r="S21" s="406"/>
      <c r="T21" s="406"/>
      <c r="U21" s="406"/>
      <c r="V21" s="422"/>
      <c r="W21" s="422"/>
      <c r="X21" s="427"/>
      <c r="Y21" s="422"/>
      <c r="Z21" s="407"/>
      <c r="AA21" s="407"/>
      <c r="AB21" s="407"/>
      <c r="AC21" s="407"/>
      <c r="AD21" s="407"/>
      <c r="AE21" s="407"/>
      <c r="AF21" s="407"/>
      <c r="AG21" s="407"/>
      <c r="AH21" s="407"/>
      <c r="AI21" s="407"/>
    </row>
    <row r="22" spans="1:65" s="411" customFormat="1" ht="20.100000000000001" customHeight="1" x14ac:dyDescent="0.3">
      <c r="A22" s="406"/>
      <c r="B22" s="428"/>
      <c r="C22" s="434"/>
      <c r="D22" s="430"/>
      <c r="E22" s="431"/>
      <c r="F22" s="432"/>
      <c r="G22" s="432"/>
      <c r="H22" s="432"/>
      <c r="I22" s="432"/>
      <c r="J22" s="432"/>
      <c r="K22" s="432"/>
      <c r="L22" s="432"/>
      <c r="M22" s="432"/>
      <c r="N22" s="432"/>
      <c r="O22" s="432"/>
      <c r="P22" s="432"/>
      <c r="Q22" s="432"/>
      <c r="R22" s="432"/>
      <c r="S22" s="432"/>
      <c r="T22" s="432"/>
      <c r="U22" s="432"/>
      <c r="V22" s="422"/>
      <c r="W22" s="422"/>
      <c r="X22" s="427"/>
      <c r="Y22" s="422"/>
      <c r="Z22" s="407"/>
      <c r="AA22" s="407"/>
      <c r="AB22" s="407"/>
      <c r="AC22" s="407"/>
      <c r="AD22" s="407"/>
      <c r="AE22" s="407"/>
      <c r="AF22" s="407"/>
      <c r="AG22" s="407"/>
      <c r="AH22" s="407"/>
      <c r="AI22" s="407"/>
      <c r="AJ22" s="433"/>
      <c r="AK22" s="433"/>
      <c r="AL22" s="433"/>
    </row>
    <row r="23" spans="1:65" s="411" customFormat="1" ht="20.100000000000001" customHeight="1" x14ac:dyDescent="0.3">
      <c r="A23" s="406"/>
      <c r="B23" s="406"/>
      <c r="C23" s="406"/>
      <c r="D23" s="435"/>
      <c r="E23" s="431"/>
      <c r="V23" s="422"/>
      <c r="W23" s="422"/>
      <c r="X23" s="427"/>
      <c r="Y23" s="422"/>
      <c r="Z23" s="407"/>
      <c r="AA23" s="407"/>
      <c r="AB23" s="407"/>
      <c r="AC23" s="407"/>
      <c r="AD23" s="407"/>
      <c r="AE23" s="407"/>
      <c r="AF23" s="407"/>
      <c r="AG23" s="407"/>
      <c r="AH23" s="407"/>
      <c r="AI23" s="407"/>
      <c r="AJ23" s="433"/>
      <c r="AK23" s="433"/>
      <c r="AL23" s="433"/>
    </row>
    <row r="24" spans="1:65" s="411" customFormat="1" ht="20.100000000000001" customHeight="1" x14ac:dyDescent="0.35">
      <c r="A24" s="406"/>
      <c r="B24" s="484" t="s">
        <v>122</v>
      </c>
      <c r="C24" s="485"/>
      <c r="D24" s="406"/>
      <c r="E24" s="406"/>
      <c r="V24" s="422"/>
      <c r="W24" s="422"/>
      <c r="X24" s="427"/>
      <c r="Y24" s="422"/>
      <c r="Z24" s="407"/>
      <c r="AA24" s="407"/>
      <c r="AB24" s="407"/>
      <c r="AC24" s="407"/>
      <c r="AD24" s="407"/>
      <c r="AE24" s="407"/>
      <c r="AF24" s="407"/>
      <c r="AG24" s="407"/>
      <c r="AH24" s="407"/>
      <c r="AI24" s="407"/>
      <c r="AJ24" s="433"/>
      <c r="AK24" s="433"/>
      <c r="AL24" s="433"/>
    </row>
    <row r="25" spans="1:65" s="175" customFormat="1" ht="24" customHeight="1" x14ac:dyDescent="0.35">
      <c r="A25" s="406"/>
      <c r="B25" s="400" t="s">
        <v>47</v>
      </c>
      <c r="C25" s="176"/>
      <c r="D25" s="407"/>
      <c r="E25" s="458"/>
      <c r="F25" s="411"/>
      <c r="G25" s="411"/>
      <c r="H25" s="411"/>
      <c r="I25" s="411"/>
      <c r="J25" s="411"/>
      <c r="K25" s="411"/>
      <c r="L25" s="411"/>
      <c r="M25" s="411"/>
      <c r="N25" s="411"/>
      <c r="O25" s="411"/>
      <c r="P25" s="411"/>
      <c r="Q25" s="411"/>
      <c r="R25" s="411"/>
      <c r="S25" s="411"/>
      <c r="T25" s="411"/>
      <c r="U25" s="411"/>
      <c r="V25" s="407"/>
      <c r="W25" s="637" t="s">
        <v>23</v>
      </c>
      <c r="X25" s="638"/>
      <c r="Y25" s="454"/>
      <c r="Z25" s="454"/>
      <c r="AA25" s="454"/>
      <c r="AB25" s="454"/>
      <c r="AC25" s="407"/>
      <c r="AD25" s="407"/>
      <c r="AE25" s="407"/>
      <c r="AF25" s="407"/>
      <c r="AG25" s="407"/>
      <c r="AH25" s="407"/>
      <c r="AI25" s="407"/>
      <c r="AJ25" s="407"/>
      <c r="AK25" s="433"/>
      <c r="AL25" s="433"/>
      <c r="AM25" s="411"/>
      <c r="AN25" s="411"/>
      <c r="AO25" s="411"/>
      <c r="AP25" s="411"/>
      <c r="AQ25" s="411"/>
    </row>
    <row r="26" spans="1:65" ht="28.8" x14ac:dyDescent="0.3">
      <c r="A26" s="406"/>
      <c r="B26" s="401" t="s">
        <v>50</v>
      </c>
      <c r="C26" s="402">
        <v>1</v>
      </c>
      <c r="D26" s="407"/>
      <c r="E26" s="459"/>
      <c r="V26" s="407"/>
      <c r="W26" s="478" t="s">
        <v>24</v>
      </c>
      <c r="X26" s="479" t="s">
        <v>177</v>
      </c>
      <c r="Y26" s="427"/>
      <c r="Z26" s="422"/>
      <c r="AA26" s="407"/>
      <c r="AB26" s="407"/>
      <c r="AC26" s="407"/>
      <c r="AD26" s="407"/>
      <c r="AE26" s="407"/>
      <c r="AF26" s="407"/>
      <c r="AG26" s="407"/>
      <c r="AH26" s="407"/>
      <c r="AI26" s="407"/>
      <c r="AJ26" s="407"/>
      <c r="AK26" s="433"/>
      <c r="AL26" s="433"/>
    </row>
    <row r="27" spans="1:65" s="175" customFormat="1" x14ac:dyDescent="0.3">
      <c r="A27" s="406"/>
      <c r="B27" s="288" t="s">
        <v>55</v>
      </c>
      <c r="C27" s="389">
        <v>0.5</v>
      </c>
      <c r="D27" s="407"/>
      <c r="E27" s="445"/>
      <c r="F27" s="447"/>
      <c r="G27" s="447"/>
      <c r="H27" s="447"/>
      <c r="I27" s="447"/>
      <c r="J27" s="447"/>
      <c r="K27" s="447"/>
      <c r="L27" s="447"/>
      <c r="M27" s="447"/>
      <c r="N27" s="447"/>
      <c r="O27" s="447"/>
      <c r="P27" s="447"/>
      <c r="Q27" s="447"/>
      <c r="R27" s="447"/>
      <c r="S27" s="447"/>
      <c r="T27" s="447"/>
      <c r="U27" s="447"/>
      <c r="V27" s="407"/>
      <c r="W27" s="480">
        <v>0</v>
      </c>
      <c r="X27" s="481">
        <v>0</v>
      </c>
      <c r="Y27" s="427"/>
      <c r="Z27" s="422"/>
      <c r="AA27" s="407"/>
      <c r="AB27" s="407"/>
      <c r="AC27" s="407"/>
      <c r="AD27" s="407"/>
      <c r="AE27" s="407"/>
      <c r="AF27" s="407"/>
      <c r="AG27" s="407"/>
      <c r="AH27" s="407"/>
      <c r="AI27" s="407"/>
      <c r="AJ27" s="407"/>
      <c r="AK27" s="433"/>
      <c r="AL27" s="433"/>
      <c r="AM27" s="411"/>
      <c r="AN27" s="411"/>
      <c r="AO27" s="411"/>
      <c r="AP27" s="411"/>
      <c r="AQ27" s="411"/>
    </row>
    <row r="28" spans="1:65" ht="15.75" customHeight="1" x14ac:dyDescent="0.3">
      <c r="A28" s="406"/>
      <c r="B28" s="403" t="s">
        <v>75</v>
      </c>
      <c r="C28" s="404">
        <v>1</v>
      </c>
      <c r="D28" s="407"/>
      <c r="E28" s="459"/>
      <c r="F28" s="448"/>
      <c r="G28" s="448"/>
      <c r="H28" s="448"/>
      <c r="I28" s="448"/>
      <c r="J28" s="448"/>
      <c r="K28" s="448"/>
      <c r="L28" s="448"/>
      <c r="M28" s="448"/>
      <c r="N28" s="448"/>
      <c r="O28" s="448"/>
      <c r="P28" s="448"/>
      <c r="Q28" s="448"/>
      <c r="R28" s="448"/>
      <c r="S28" s="448"/>
      <c r="T28" s="448"/>
      <c r="U28" s="448"/>
      <c r="V28" s="407"/>
      <c r="W28" s="480">
        <v>8</v>
      </c>
      <c r="X28" s="481">
        <v>0.25</v>
      </c>
      <c r="Y28" s="427"/>
      <c r="Z28" s="422"/>
      <c r="AA28" s="407"/>
      <c r="AB28" s="407"/>
      <c r="AC28" s="407"/>
      <c r="AD28" s="407"/>
      <c r="AE28" s="407"/>
      <c r="AF28" s="407"/>
      <c r="AG28" s="407"/>
      <c r="AH28" s="407"/>
      <c r="AI28" s="407"/>
      <c r="AJ28" s="407"/>
      <c r="AK28" s="433"/>
      <c r="AL28" s="433"/>
    </row>
    <row r="29" spans="1:65" ht="15.75" customHeight="1" x14ac:dyDescent="0.3">
      <c r="A29" s="406"/>
      <c r="B29" s="173"/>
      <c r="C29" s="457"/>
      <c r="D29" s="457"/>
      <c r="E29" s="460"/>
      <c r="V29" s="407"/>
      <c r="W29" s="480">
        <v>25</v>
      </c>
      <c r="X29" s="481">
        <v>0.5</v>
      </c>
      <c r="Y29" s="427"/>
      <c r="Z29" s="422"/>
      <c r="AA29" s="407"/>
      <c r="AB29" s="407"/>
      <c r="AC29" s="407"/>
      <c r="AD29" s="407"/>
      <c r="AE29" s="407"/>
      <c r="AF29" s="407"/>
      <c r="AG29" s="407"/>
      <c r="AH29" s="407"/>
      <c r="AI29" s="407"/>
      <c r="AJ29" s="407"/>
      <c r="AK29" s="433"/>
      <c r="AL29" s="433"/>
    </row>
    <row r="30" spans="1:65" ht="15.6" x14ac:dyDescent="0.3">
      <c r="A30" s="406"/>
      <c r="B30" s="273" t="s">
        <v>127</v>
      </c>
      <c r="C30" s="405"/>
      <c r="D30" s="457"/>
      <c r="E30" s="460"/>
      <c r="F30" s="445"/>
      <c r="G30" s="445"/>
      <c r="H30" s="445"/>
      <c r="I30" s="445"/>
      <c r="J30" s="445"/>
      <c r="K30" s="445"/>
      <c r="L30" s="445"/>
      <c r="M30" s="445"/>
      <c r="N30" s="445"/>
      <c r="O30" s="445"/>
      <c r="P30" s="445"/>
      <c r="Q30" s="445"/>
      <c r="R30" s="445"/>
      <c r="S30" s="445"/>
      <c r="T30" s="445"/>
      <c r="U30" s="445"/>
      <c r="V30" s="407"/>
      <c r="W30" s="480">
        <v>37</v>
      </c>
      <c r="X30" s="481">
        <v>0.75</v>
      </c>
      <c r="Y30" s="407"/>
      <c r="Z30" s="407"/>
      <c r="AA30" s="407"/>
      <c r="AB30" s="407"/>
      <c r="AC30" s="407"/>
      <c r="AD30" s="407"/>
      <c r="AE30" s="407"/>
      <c r="AF30" s="407"/>
      <c r="AG30" s="407"/>
      <c r="AH30" s="407"/>
      <c r="AI30" s="407"/>
      <c r="AJ30" s="407"/>
      <c r="AK30" s="433"/>
      <c r="AL30" s="433"/>
    </row>
    <row r="31" spans="1:65" x14ac:dyDescent="0.3">
      <c r="A31" s="406"/>
      <c r="B31" s="288" t="s">
        <v>21</v>
      </c>
      <c r="C31" s="285">
        <v>1</v>
      </c>
      <c r="D31" s="457"/>
      <c r="E31" s="461"/>
      <c r="F31" s="445"/>
      <c r="G31" s="445"/>
      <c r="H31" s="445"/>
      <c r="I31" s="445"/>
      <c r="J31" s="445"/>
      <c r="K31" s="445"/>
      <c r="L31" s="445"/>
      <c r="M31" s="445"/>
      <c r="N31" s="445"/>
      <c r="O31" s="445"/>
      <c r="P31" s="445"/>
      <c r="Q31" s="445"/>
      <c r="R31" s="445"/>
      <c r="S31" s="445"/>
      <c r="T31" s="445"/>
      <c r="U31" s="445"/>
      <c r="V31" s="407"/>
      <c r="W31" s="482">
        <v>50</v>
      </c>
      <c r="X31" s="483">
        <v>1</v>
      </c>
      <c r="Y31" s="427"/>
      <c r="Z31" s="407"/>
      <c r="AA31" s="407"/>
      <c r="AB31" s="407"/>
      <c r="AC31" s="407"/>
      <c r="AD31" s="407"/>
      <c r="AE31" s="407"/>
      <c r="AF31" s="407"/>
      <c r="AG31" s="407"/>
      <c r="AH31" s="407"/>
      <c r="AI31" s="407"/>
      <c r="AJ31" s="407"/>
      <c r="AK31" s="433"/>
      <c r="AL31" s="433"/>
    </row>
    <row r="32" spans="1:65" s="175" customFormat="1" ht="15.6" x14ac:dyDescent="0.3">
      <c r="A32" s="406"/>
      <c r="B32" s="288" t="s">
        <v>22</v>
      </c>
      <c r="C32" s="285">
        <v>0</v>
      </c>
      <c r="D32" s="457"/>
      <c r="E32" s="462"/>
      <c r="F32" s="407"/>
      <c r="G32" s="407"/>
      <c r="H32" s="407"/>
      <c r="I32" s="407"/>
      <c r="J32" s="407"/>
      <c r="K32" s="407"/>
      <c r="L32" s="407"/>
      <c r="M32" s="407"/>
      <c r="N32" s="407"/>
      <c r="O32" s="407"/>
      <c r="P32" s="407"/>
      <c r="Q32" s="407"/>
      <c r="R32" s="407"/>
      <c r="S32" s="407"/>
      <c r="T32" s="407"/>
      <c r="U32" s="407"/>
      <c r="V32" s="407"/>
      <c r="W32" s="455"/>
      <c r="X32" s="422"/>
      <c r="Y32" s="427"/>
      <c r="Z32" s="406"/>
      <c r="AA32" s="406"/>
      <c r="AB32" s="406"/>
      <c r="AC32" s="406"/>
      <c r="AD32" s="406"/>
      <c r="AE32" s="406"/>
      <c r="AF32" s="406"/>
      <c r="AG32" s="406"/>
      <c r="AH32" s="406"/>
      <c r="AI32" s="406"/>
      <c r="AJ32" s="406"/>
      <c r="AK32" s="411"/>
      <c r="AL32" s="411"/>
      <c r="AM32" s="411"/>
      <c r="AN32" s="411"/>
      <c r="AO32" s="411"/>
      <c r="AP32" s="411"/>
      <c r="AQ32" s="411"/>
    </row>
    <row r="33" spans="1:43" s="236" customFormat="1" ht="15.6" x14ac:dyDescent="0.3">
      <c r="A33" s="408"/>
      <c r="B33" s="470"/>
      <c r="C33" s="469"/>
      <c r="D33" s="449"/>
      <c r="E33" s="639"/>
      <c r="F33" s="639"/>
      <c r="G33" s="628"/>
      <c r="H33" s="628"/>
      <c r="I33" s="628"/>
      <c r="J33" s="628"/>
      <c r="K33" s="628"/>
      <c r="L33" s="628"/>
      <c r="M33" s="628"/>
      <c r="N33" s="628"/>
      <c r="O33" s="628"/>
      <c r="P33" s="628"/>
      <c r="Q33" s="628"/>
      <c r="R33" s="628"/>
      <c r="S33" s="628"/>
      <c r="T33" s="581"/>
      <c r="U33" s="581"/>
      <c r="V33" s="449"/>
      <c r="W33" s="455"/>
      <c r="X33" s="407"/>
      <c r="Y33" s="427"/>
      <c r="Z33" s="406"/>
      <c r="AA33" s="406"/>
      <c r="AB33" s="406"/>
      <c r="AC33" s="408"/>
      <c r="AD33" s="408"/>
      <c r="AE33" s="408"/>
      <c r="AF33" s="408"/>
      <c r="AG33" s="408"/>
      <c r="AH33" s="408"/>
      <c r="AI33" s="408"/>
      <c r="AJ33" s="408"/>
      <c r="AK33" s="456"/>
      <c r="AL33" s="456"/>
      <c r="AM33" s="456"/>
      <c r="AN33" s="456"/>
      <c r="AO33" s="456"/>
      <c r="AP33" s="456"/>
      <c r="AQ33" s="456"/>
    </row>
    <row r="34" spans="1:43" s="235" customFormat="1" ht="18.75" customHeight="1" x14ac:dyDescent="0.3">
      <c r="A34" s="409"/>
      <c r="B34" s="406"/>
      <c r="C34" s="406"/>
      <c r="D34" s="410"/>
      <c r="E34" s="463"/>
      <c r="F34" s="410"/>
      <c r="G34" s="410"/>
      <c r="H34" s="410"/>
      <c r="I34" s="410"/>
      <c r="J34" s="410"/>
      <c r="K34" s="410"/>
      <c r="L34" s="410"/>
      <c r="M34" s="410"/>
      <c r="N34" s="410"/>
      <c r="O34" s="410"/>
      <c r="P34" s="410"/>
      <c r="Q34" s="410"/>
      <c r="R34" s="410"/>
      <c r="S34" s="410"/>
      <c r="T34" s="410"/>
      <c r="U34" s="410"/>
      <c r="V34" s="410"/>
      <c r="W34" s="456"/>
      <c r="X34" s="456"/>
      <c r="Y34" s="456"/>
      <c r="Z34" s="456"/>
      <c r="AA34" s="456"/>
      <c r="AB34" s="456"/>
      <c r="AC34" s="409"/>
      <c r="AD34" s="409"/>
      <c r="AE34" s="409"/>
      <c r="AF34" s="409"/>
      <c r="AG34" s="409"/>
      <c r="AH34" s="409"/>
      <c r="AI34" s="467"/>
      <c r="AJ34" s="467"/>
      <c r="AK34" s="467"/>
      <c r="AL34" s="467"/>
      <c r="AM34" s="467"/>
      <c r="AN34" s="467"/>
      <c r="AO34" s="467"/>
      <c r="AP34" s="467"/>
      <c r="AQ34" s="467"/>
    </row>
    <row r="35" spans="1:43" s="235" customFormat="1" ht="16.5" customHeight="1" x14ac:dyDescent="0.3">
      <c r="A35" s="409"/>
      <c r="B35" s="215" t="s">
        <v>221</v>
      </c>
      <c r="C35" s="176"/>
      <c r="D35" s="410"/>
      <c r="E35" s="463"/>
      <c r="F35" s="410"/>
      <c r="G35" s="410"/>
      <c r="H35" s="410"/>
      <c r="I35" s="410"/>
      <c r="J35" s="410"/>
      <c r="K35" s="410"/>
      <c r="L35" s="410"/>
      <c r="M35" s="410"/>
      <c r="N35" s="410"/>
      <c r="O35" s="410"/>
      <c r="P35" s="410"/>
      <c r="Q35" s="410"/>
      <c r="R35" s="410"/>
      <c r="S35" s="410"/>
      <c r="T35" s="410"/>
      <c r="U35" s="410"/>
      <c r="V35" s="410"/>
      <c r="W35" s="8" t="s">
        <v>18</v>
      </c>
      <c r="X35" s="9" t="s">
        <v>24</v>
      </c>
      <c r="Y35" s="9" t="s">
        <v>178</v>
      </c>
      <c r="Z35" s="321" t="s">
        <v>25</v>
      </c>
      <c r="AA35" s="409"/>
      <c r="AB35" s="409"/>
      <c r="AC35" s="409"/>
      <c r="AD35" s="409"/>
      <c r="AE35" s="409"/>
      <c r="AF35" s="409"/>
      <c r="AG35" s="409"/>
      <c r="AH35" s="409"/>
      <c r="AI35" s="467"/>
      <c r="AJ35" s="467"/>
      <c r="AK35" s="467"/>
      <c r="AL35" s="467"/>
      <c r="AM35" s="467"/>
      <c r="AN35" s="467"/>
      <c r="AO35" s="467"/>
      <c r="AP35" s="467"/>
      <c r="AQ35" s="467"/>
    </row>
    <row r="36" spans="1:43" s="235" customFormat="1" ht="15.75" customHeight="1" x14ac:dyDescent="0.3">
      <c r="A36" s="409"/>
      <c r="B36" s="216" t="s">
        <v>21</v>
      </c>
      <c r="C36" s="179">
        <v>1</v>
      </c>
      <c r="D36" s="410"/>
      <c r="E36" s="463"/>
      <c r="F36" s="410"/>
      <c r="G36" s="410"/>
      <c r="H36" s="410"/>
      <c r="I36" s="410"/>
      <c r="J36" s="410"/>
      <c r="K36" s="410"/>
      <c r="L36" s="410"/>
      <c r="M36" s="410"/>
      <c r="N36" s="410"/>
      <c r="O36" s="410"/>
      <c r="P36" s="410"/>
      <c r="Q36" s="410"/>
      <c r="R36" s="410"/>
      <c r="S36" s="410"/>
      <c r="T36" s="410"/>
      <c r="U36" s="410"/>
      <c r="V36" s="410"/>
      <c r="W36" s="49">
        <f>C4</f>
        <v>0</v>
      </c>
      <c r="X36" s="472">
        <v>1</v>
      </c>
      <c r="Y36" s="473">
        <f>VLOOKUP(X36,$W$27:$X$31,2,1)</f>
        <v>0</v>
      </c>
      <c r="Z36" s="474">
        <f t="shared" ref="Z36:Z99" si="0">$C$17*Y36</f>
        <v>0</v>
      </c>
      <c r="AA36" s="409"/>
      <c r="AB36" s="409"/>
      <c r="AC36" s="409"/>
      <c r="AD36" s="409"/>
      <c r="AE36" s="409"/>
      <c r="AF36" s="409"/>
      <c r="AG36" s="409"/>
      <c r="AH36" s="409"/>
      <c r="AI36" s="467"/>
      <c r="AJ36" s="467"/>
      <c r="AK36" s="467"/>
      <c r="AL36" s="467"/>
      <c r="AM36" s="467"/>
      <c r="AN36" s="467"/>
      <c r="AO36" s="467"/>
      <c r="AP36" s="467"/>
      <c r="AQ36" s="467"/>
    </row>
    <row r="37" spans="1:43" s="175" customFormat="1" x14ac:dyDescent="0.3">
      <c r="A37" s="406"/>
      <c r="B37" s="287" t="s">
        <v>22</v>
      </c>
      <c r="C37" s="178">
        <v>0</v>
      </c>
      <c r="D37" s="407"/>
      <c r="E37" s="464"/>
      <c r="F37" s="407"/>
      <c r="G37" s="407"/>
      <c r="H37" s="407"/>
      <c r="I37" s="407"/>
      <c r="J37" s="407"/>
      <c r="K37" s="407"/>
      <c r="L37" s="407"/>
      <c r="M37" s="407"/>
      <c r="N37" s="407"/>
      <c r="O37" s="407"/>
      <c r="P37" s="407"/>
      <c r="Q37" s="407"/>
      <c r="R37" s="407"/>
      <c r="S37" s="407"/>
      <c r="T37" s="407"/>
      <c r="U37" s="407"/>
      <c r="V37" s="407"/>
      <c r="W37" s="6">
        <f>1+W36</f>
        <v>1</v>
      </c>
      <c r="X37" s="472">
        <f>X36+1</f>
        <v>2</v>
      </c>
      <c r="Y37" s="473">
        <f t="shared" ref="Y37:Y100" si="1">VLOOKUP(X37,$W$27:$X$31,2,1)</f>
        <v>0</v>
      </c>
      <c r="Z37" s="474">
        <f t="shared" si="0"/>
        <v>0</v>
      </c>
      <c r="AA37" s="409"/>
      <c r="AB37" s="409"/>
      <c r="AC37" s="406"/>
      <c r="AD37" s="406"/>
      <c r="AE37" s="406"/>
      <c r="AF37" s="406"/>
      <c r="AG37" s="406"/>
      <c r="AH37" s="406"/>
      <c r="AI37" s="411"/>
      <c r="AJ37" s="411"/>
      <c r="AK37" s="411"/>
      <c r="AL37" s="411"/>
      <c r="AM37" s="411"/>
      <c r="AN37" s="411"/>
      <c r="AO37" s="411"/>
      <c r="AP37" s="411"/>
      <c r="AQ37" s="411"/>
    </row>
    <row r="38" spans="1:43" ht="15.6" x14ac:dyDescent="0.3">
      <c r="A38" s="406"/>
      <c r="B38" s="217"/>
      <c r="C38" s="406"/>
      <c r="D38" s="407"/>
      <c r="E38" s="640"/>
      <c r="F38" s="640"/>
      <c r="G38" s="629"/>
      <c r="H38" s="629"/>
      <c r="I38" s="629"/>
      <c r="J38" s="629"/>
      <c r="K38" s="629"/>
      <c r="L38" s="629"/>
      <c r="M38" s="629"/>
      <c r="N38" s="629"/>
      <c r="O38" s="629"/>
      <c r="P38" s="629"/>
      <c r="Q38" s="629"/>
      <c r="R38" s="629"/>
      <c r="S38" s="629"/>
      <c r="T38" s="582"/>
      <c r="U38" s="582"/>
      <c r="V38" s="407"/>
      <c r="W38" s="6">
        <f t="shared" ref="W38:W101" si="2">1+W37</f>
        <v>2</v>
      </c>
      <c r="X38" s="472">
        <f t="shared" ref="X38:X101" si="3">X37+1</f>
        <v>3</v>
      </c>
      <c r="Y38" s="473">
        <f t="shared" si="1"/>
        <v>0</v>
      </c>
      <c r="Z38" s="474">
        <f t="shared" si="0"/>
        <v>0</v>
      </c>
      <c r="AA38" s="406"/>
      <c r="AB38" s="406"/>
      <c r="AC38" s="406"/>
      <c r="AD38" s="406"/>
      <c r="AE38" s="406"/>
      <c r="AF38" s="406"/>
      <c r="AG38" s="406"/>
      <c r="AH38" s="406"/>
    </row>
    <row r="39" spans="1:43" ht="17.25" customHeight="1" x14ac:dyDescent="0.3">
      <c r="A39" s="406"/>
      <c r="B39" s="292" t="s">
        <v>126</v>
      </c>
      <c r="C39" s="405"/>
      <c r="D39" s="407"/>
      <c r="E39" s="462"/>
      <c r="F39" s="407"/>
      <c r="G39" s="407"/>
      <c r="H39" s="407"/>
      <c r="I39" s="407"/>
      <c r="J39" s="407"/>
      <c r="K39" s="407"/>
      <c r="L39" s="407"/>
      <c r="M39" s="407"/>
      <c r="N39" s="407"/>
      <c r="O39" s="407"/>
      <c r="P39" s="407"/>
      <c r="Q39" s="407"/>
      <c r="R39" s="407"/>
      <c r="S39" s="407"/>
      <c r="T39" s="407"/>
      <c r="U39" s="407"/>
      <c r="V39" s="407"/>
      <c r="W39" s="6">
        <f t="shared" si="2"/>
        <v>3</v>
      </c>
      <c r="X39" s="472">
        <f t="shared" si="3"/>
        <v>4</v>
      </c>
      <c r="Y39" s="473">
        <f t="shared" si="1"/>
        <v>0</v>
      </c>
      <c r="Z39" s="474">
        <f t="shared" si="0"/>
        <v>0</v>
      </c>
      <c r="AA39" s="406"/>
      <c r="AB39" s="406"/>
      <c r="AC39" s="406"/>
      <c r="AD39" s="406"/>
      <c r="AE39" s="406"/>
      <c r="AF39" s="406"/>
      <c r="AG39" s="406"/>
      <c r="AH39" s="406"/>
    </row>
    <row r="40" spans="1:43" ht="15.6" x14ac:dyDescent="0.3">
      <c r="A40" s="406"/>
      <c r="B40" s="288" t="s">
        <v>21</v>
      </c>
      <c r="C40" s="285">
        <v>1</v>
      </c>
      <c r="D40" s="407"/>
      <c r="E40" s="462"/>
      <c r="F40" s="407"/>
      <c r="G40" s="407"/>
      <c r="H40" s="407"/>
      <c r="I40" s="407"/>
      <c r="J40" s="407"/>
      <c r="K40" s="407"/>
      <c r="L40" s="407"/>
      <c r="M40" s="407"/>
      <c r="N40" s="407"/>
      <c r="O40" s="407"/>
      <c r="P40" s="407"/>
      <c r="Q40" s="407"/>
      <c r="R40" s="407"/>
      <c r="S40" s="407"/>
      <c r="T40" s="407"/>
      <c r="U40" s="407"/>
      <c r="V40" s="407"/>
      <c r="W40" s="6">
        <f t="shared" si="2"/>
        <v>4</v>
      </c>
      <c r="X40" s="472">
        <f t="shared" si="3"/>
        <v>5</v>
      </c>
      <c r="Y40" s="473">
        <f t="shared" si="1"/>
        <v>0</v>
      </c>
      <c r="Z40" s="474">
        <f t="shared" si="0"/>
        <v>0</v>
      </c>
      <c r="AA40" s="406"/>
      <c r="AB40" s="406"/>
      <c r="AC40" s="406"/>
      <c r="AD40" s="406"/>
      <c r="AE40" s="406"/>
      <c r="AF40" s="406"/>
      <c r="AG40" s="406"/>
      <c r="AH40" s="406"/>
    </row>
    <row r="41" spans="1:43" s="175" customFormat="1" x14ac:dyDescent="0.3">
      <c r="A41" s="406"/>
      <c r="B41" s="287" t="s">
        <v>22</v>
      </c>
      <c r="C41" s="286">
        <v>0</v>
      </c>
      <c r="D41" s="407"/>
      <c r="E41" s="464"/>
      <c r="F41" s="407"/>
      <c r="G41" s="407"/>
      <c r="H41" s="407"/>
      <c r="I41" s="407"/>
      <c r="J41" s="407"/>
      <c r="K41" s="407"/>
      <c r="L41" s="407"/>
      <c r="M41" s="407"/>
      <c r="N41" s="407"/>
      <c r="O41" s="407"/>
      <c r="P41" s="407"/>
      <c r="Q41" s="407"/>
      <c r="R41" s="407"/>
      <c r="S41" s="407"/>
      <c r="T41" s="407"/>
      <c r="U41" s="407"/>
      <c r="V41" s="407"/>
      <c r="W41" s="6">
        <f t="shared" si="2"/>
        <v>5</v>
      </c>
      <c r="X41" s="472">
        <f t="shared" si="3"/>
        <v>6</v>
      </c>
      <c r="Y41" s="473">
        <f t="shared" si="1"/>
        <v>0</v>
      </c>
      <c r="Z41" s="474">
        <f t="shared" si="0"/>
        <v>0</v>
      </c>
      <c r="AA41" s="406"/>
      <c r="AB41" s="406"/>
      <c r="AC41" s="406"/>
      <c r="AD41" s="406"/>
      <c r="AE41" s="406"/>
      <c r="AF41" s="406"/>
      <c r="AG41" s="406"/>
      <c r="AH41" s="406"/>
      <c r="AI41" s="411"/>
      <c r="AJ41" s="411"/>
      <c r="AK41" s="411"/>
      <c r="AL41" s="411"/>
      <c r="AM41" s="411"/>
      <c r="AN41" s="411"/>
      <c r="AO41" s="411"/>
      <c r="AP41" s="411"/>
      <c r="AQ41" s="411"/>
    </row>
    <row r="42" spans="1:43" ht="15.6" x14ac:dyDescent="0.3">
      <c r="A42" s="406"/>
      <c r="B42" s="224"/>
      <c r="C42" s="416"/>
      <c r="D42" s="407"/>
      <c r="E42" s="641"/>
      <c r="F42" s="641"/>
      <c r="G42" s="630"/>
      <c r="H42" s="630"/>
      <c r="I42" s="630"/>
      <c r="J42" s="630"/>
      <c r="K42" s="630"/>
      <c r="L42" s="630"/>
      <c r="M42" s="630"/>
      <c r="N42" s="630"/>
      <c r="O42" s="630"/>
      <c r="P42" s="630"/>
      <c r="Q42" s="630"/>
      <c r="R42" s="630"/>
      <c r="S42" s="630"/>
      <c r="T42" s="583"/>
      <c r="U42" s="583"/>
      <c r="V42" s="407"/>
      <c r="W42" s="6">
        <f t="shared" si="2"/>
        <v>6</v>
      </c>
      <c r="X42" s="472">
        <f t="shared" si="3"/>
        <v>7</v>
      </c>
      <c r="Y42" s="473">
        <f t="shared" si="1"/>
        <v>0</v>
      </c>
      <c r="Z42" s="474">
        <f t="shared" si="0"/>
        <v>0</v>
      </c>
      <c r="AA42" s="406"/>
      <c r="AB42" s="406"/>
      <c r="AC42" s="406"/>
      <c r="AD42" s="406"/>
      <c r="AE42" s="406"/>
      <c r="AF42" s="406"/>
      <c r="AG42" s="406"/>
      <c r="AH42" s="406"/>
    </row>
    <row r="43" spans="1:43" ht="12.75" customHeight="1" x14ac:dyDescent="0.3">
      <c r="A43" s="406"/>
      <c r="B43" s="400" t="s">
        <v>223</v>
      </c>
      <c r="C43" s="394"/>
      <c r="D43" s="407"/>
      <c r="E43" s="462"/>
      <c r="F43" s="407"/>
      <c r="G43" s="407"/>
      <c r="H43" s="407"/>
      <c r="I43" s="407"/>
      <c r="J43" s="407"/>
      <c r="K43" s="407"/>
      <c r="L43" s="407"/>
      <c r="M43" s="407"/>
      <c r="N43" s="407"/>
      <c r="O43" s="407"/>
      <c r="P43" s="407"/>
      <c r="Q43" s="407"/>
      <c r="R43" s="407"/>
      <c r="S43" s="407"/>
      <c r="T43" s="407"/>
      <c r="U43" s="407"/>
      <c r="V43" s="407"/>
      <c r="W43" s="6">
        <f t="shared" si="2"/>
        <v>7</v>
      </c>
      <c r="X43" s="472">
        <f t="shared" si="3"/>
        <v>8</v>
      </c>
      <c r="Y43" s="473">
        <f t="shared" si="1"/>
        <v>0.25</v>
      </c>
      <c r="Z43" s="474">
        <f t="shared" si="0"/>
        <v>0</v>
      </c>
      <c r="AA43" s="406"/>
      <c r="AB43" s="406"/>
      <c r="AC43" s="406"/>
      <c r="AD43" s="406"/>
      <c r="AE43" s="406"/>
      <c r="AF43" s="406"/>
      <c r="AG43" s="406"/>
      <c r="AH43" s="406"/>
    </row>
    <row r="44" spans="1:43" ht="15.6" x14ac:dyDescent="0.3">
      <c r="A44" s="406"/>
      <c r="B44" s="401" t="s">
        <v>231</v>
      </c>
      <c r="C44" s="393">
        <v>4</v>
      </c>
      <c r="D44" s="407"/>
      <c r="E44" s="462"/>
      <c r="F44" s="407"/>
      <c r="G44" s="407"/>
      <c r="H44" s="407"/>
      <c r="I44" s="407"/>
      <c r="J44" s="407"/>
      <c r="K44" s="407"/>
      <c r="L44" s="407"/>
      <c r="M44" s="407"/>
      <c r="N44" s="407"/>
      <c r="O44" s="407"/>
      <c r="P44" s="407"/>
      <c r="Q44" s="407"/>
      <c r="R44" s="407"/>
      <c r="S44" s="407"/>
      <c r="T44" s="407"/>
      <c r="U44" s="407"/>
      <c r="V44" s="407"/>
      <c r="W44" s="6">
        <f t="shared" si="2"/>
        <v>8</v>
      </c>
      <c r="X44" s="472">
        <f t="shared" si="3"/>
        <v>9</v>
      </c>
      <c r="Y44" s="473">
        <f t="shared" si="1"/>
        <v>0.25</v>
      </c>
      <c r="Z44" s="474">
        <f t="shared" si="0"/>
        <v>0</v>
      </c>
      <c r="AA44" s="406"/>
      <c r="AB44" s="406"/>
      <c r="AC44" s="406"/>
      <c r="AD44" s="406"/>
      <c r="AE44" s="406"/>
      <c r="AF44" s="406"/>
      <c r="AG44" s="406"/>
      <c r="AH44" s="406"/>
      <c r="AI44" s="406"/>
    </row>
    <row r="45" spans="1:43" s="175" customFormat="1" x14ac:dyDescent="0.3">
      <c r="A45" s="406"/>
      <c r="B45" s="401" t="s">
        <v>232</v>
      </c>
      <c r="C45" s="390">
        <v>1</v>
      </c>
      <c r="D45" s="407"/>
      <c r="E45" s="407"/>
      <c r="F45" s="407"/>
      <c r="G45" s="407"/>
      <c r="H45" s="407"/>
      <c r="I45" s="407"/>
      <c r="J45" s="407"/>
      <c r="K45" s="407"/>
      <c r="L45" s="407"/>
      <c r="M45" s="407"/>
      <c r="N45" s="407"/>
      <c r="O45" s="407"/>
      <c r="P45" s="407"/>
      <c r="Q45" s="407"/>
      <c r="R45" s="407"/>
      <c r="S45" s="407"/>
      <c r="T45" s="407"/>
      <c r="U45" s="407"/>
      <c r="V45" s="407"/>
      <c r="W45" s="6">
        <f t="shared" si="2"/>
        <v>9</v>
      </c>
      <c r="X45" s="472">
        <f t="shared" si="3"/>
        <v>10</v>
      </c>
      <c r="Y45" s="473">
        <f t="shared" si="1"/>
        <v>0.25</v>
      </c>
      <c r="Z45" s="474">
        <f t="shared" si="0"/>
        <v>0</v>
      </c>
      <c r="AA45" s="406"/>
      <c r="AB45" s="406"/>
      <c r="AC45" s="406"/>
      <c r="AD45" s="406"/>
      <c r="AE45" s="406"/>
      <c r="AF45" s="406"/>
      <c r="AG45" s="406"/>
      <c r="AH45" s="406"/>
      <c r="AI45" s="406"/>
      <c r="AJ45" s="411"/>
      <c r="AK45" s="411"/>
      <c r="AL45" s="411"/>
      <c r="AM45" s="411"/>
      <c r="AN45" s="411"/>
      <c r="AO45" s="411"/>
      <c r="AP45" s="411"/>
      <c r="AQ45" s="411"/>
    </row>
    <row r="46" spans="1:43" s="274" customFormat="1" x14ac:dyDescent="0.3">
      <c r="A46" s="410"/>
      <c r="B46" s="401" t="s">
        <v>233</v>
      </c>
      <c r="C46" s="402">
        <v>0.75</v>
      </c>
      <c r="D46" s="528"/>
      <c r="E46" s="410"/>
      <c r="F46" s="410"/>
      <c r="G46" s="410"/>
      <c r="H46" s="410"/>
      <c r="I46" s="410"/>
      <c r="J46" s="410"/>
      <c r="K46" s="410"/>
      <c r="L46" s="410"/>
      <c r="M46" s="410"/>
      <c r="N46" s="410"/>
      <c r="O46" s="410"/>
      <c r="P46" s="410"/>
      <c r="Q46" s="410"/>
      <c r="R46" s="410"/>
      <c r="S46" s="410"/>
      <c r="T46" s="410"/>
      <c r="U46" s="410"/>
      <c r="V46" s="410"/>
      <c r="W46" s="6">
        <f t="shared" si="2"/>
        <v>10</v>
      </c>
      <c r="X46" s="472">
        <f t="shared" si="3"/>
        <v>11</v>
      </c>
      <c r="Y46" s="473">
        <f t="shared" si="1"/>
        <v>0.25</v>
      </c>
      <c r="Z46" s="474">
        <f t="shared" si="0"/>
        <v>0</v>
      </c>
      <c r="AA46" s="406"/>
      <c r="AB46" s="406"/>
      <c r="AC46" s="410"/>
      <c r="AD46" s="410"/>
      <c r="AE46" s="410"/>
      <c r="AF46" s="410"/>
      <c r="AG46" s="410"/>
      <c r="AH46" s="410"/>
      <c r="AI46" s="410"/>
      <c r="AJ46" s="468"/>
      <c r="AK46" s="468"/>
      <c r="AL46" s="468"/>
      <c r="AM46" s="468"/>
      <c r="AN46" s="468"/>
      <c r="AO46" s="468"/>
      <c r="AP46" s="468"/>
      <c r="AQ46" s="468"/>
    </row>
    <row r="47" spans="1:43" s="274" customFormat="1" x14ac:dyDescent="0.3">
      <c r="A47" s="410"/>
      <c r="B47" s="403" t="s">
        <v>229</v>
      </c>
      <c r="C47" s="404">
        <v>0</v>
      </c>
      <c r="D47" s="528"/>
      <c r="E47" s="465"/>
      <c r="F47" s="410"/>
      <c r="G47" s="410"/>
      <c r="H47" s="410"/>
      <c r="I47" s="410"/>
      <c r="J47" s="410"/>
      <c r="K47" s="410"/>
      <c r="L47" s="410"/>
      <c r="M47" s="410"/>
      <c r="N47" s="410"/>
      <c r="O47" s="410"/>
      <c r="P47" s="410"/>
      <c r="Q47" s="410"/>
      <c r="R47" s="410"/>
      <c r="S47" s="410"/>
      <c r="T47" s="410"/>
      <c r="U47" s="410"/>
      <c r="V47" s="410"/>
      <c r="W47" s="6">
        <f t="shared" si="2"/>
        <v>11</v>
      </c>
      <c r="X47" s="472">
        <f t="shared" si="3"/>
        <v>12</v>
      </c>
      <c r="Y47" s="473">
        <f t="shared" si="1"/>
        <v>0.25</v>
      </c>
      <c r="Z47" s="474">
        <f t="shared" si="0"/>
        <v>0</v>
      </c>
      <c r="AA47" s="410"/>
      <c r="AB47" s="410"/>
      <c r="AC47" s="410"/>
      <c r="AD47" s="410"/>
      <c r="AE47" s="410"/>
      <c r="AF47" s="410"/>
      <c r="AG47" s="410"/>
      <c r="AH47" s="410"/>
      <c r="AI47" s="410"/>
      <c r="AJ47" s="468"/>
      <c r="AK47" s="468"/>
      <c r="AL47" s="468"/>
      <c r="AM47" s="468"/>
      <c r="AN47" s="468"/>
      <c r="AO47" s="468"/>
      <c r="AP47" s="468"/>
      <c r="AQ47" s="468"/>
    </row>
    <row r="48" spans="1:43" s="274" customFormat="1" ht="15.6" x14ac:dyDescent="0.3">
      <c r="A48" s="410"/>
      <c r="B48" s="411"/>
      <c r="C48" s="411"/>
      <c r="D48" s="578"/>
      <c r="E48" s="465"/>
      <c r="F48" s="410"/>
      <c r="G48" s="410"/>
      <c r="H48" s="410"/>
      <c r="I48" s="410"/>
      <c r="J48" s="410"/>
      <c r="K48" s="410"/>
      <c r="L48" s="410"/>
      <c r="M48" s="410"/>
      <c r="N48" s="410"/>
      <c r="O48" s="410"/>
      <c r="P48" s="410"/>
      <c r="Q48" s="410"/>
      <c r="R48" s="410"/>
      <c r="S48" s="410"/>
      <c r="T48" s="410"/>
      <c r="U48" s="410"/>
      <c r="V48" s="410"/>
      <c r="W48" s="6">
        <f t="shared" si="2"/>
        <v>12</v>
      </c>
      <c r="X48" s="472">
        <f t="shared" si="3"/>
        <v>13</v>
      </c>
      <c r="Y48" s="473">
        <f t="shared" si="1"/>
        <v>0.25</v>
      </c>
      <c r="Z48" s="474">
        <f t="shared" si="0"/>
        <v>0</v>
      </c>
      <c r="AA48" s="410"/>
      <c r="AB48" s="410"/>
      <c r="AC48" s="410"/>
      <c r="AD48" s="410"/>
      <c r="AE48" s="410"/>
      <c r="AF48" s="410"/>
      <c r="AG48" s="410"/>
      <c r="AH48" s="410"/>
      <c r="AI48" s="410"/>
      <c r="AJ48" s="468"/>
      <c r="AK48" s="468"/>
      <c r="AL48" s="468"/>
      <c r="AM48" s="468"/>
      <c r="AN48" s="468"/>
      <c r="AO48" s="468"/>
      <c r="AP48" s="468"/>
      <c r="AQ48" s="468"/>
    </row>
    <row r="49" spans="1:34" x14ac:dyDescent="0.3">
      <c r="A49" s="406"/>
      <c r="B49" s="411"/>
      <c r="C49" s="411"/>
      <c r="D49" s="579"/>
      <c r="E49" s="407"/>
      <c r="F49" s="407"/>
      <c r="G49" s="407"/>
      <c r="H49" s="407"/>
      <c r="I49" s="407"/>
      <c r="J49" s="407"/>
      <c r="K49" s="407"/>
      <c r="L49" s="407"/>
      <c r="M49" s="407"/>
      <c r="N49" s="407"/>
      <c r="O49" s="407"/>
      <c r="P49" s="407"/>
      <c r="Q49" s="407"/>
      <c r="R49" s="407"/>
      <c r="S49" s="407"/>
      <c r="T49" s="407"/>
      <c r="U49" s="407"/>
      <c r="V49" s="406"/>
      <c r="W49" s="6">
        <f t="shared" si="2"/>
        <v>13</v>
      </c>
      <c r="X49" s="472">
        <f t="shared" si="3"/>
        <v>14</v>
      </c>
      <c r="Y49" s="473">
        <f t="shared" si="1"/>
        <v>0.25</v>
      </c>
      <c r="Z49" s="474">
        <f t="shared" si="0"/>
        <v>0</v>
      </c>
      <c r="AA49" s="410"/>
      <c r="AB49" s="410"/>
      <c r="AC49" s="406"/>
      <c r="AD49" s="406"/>
      <c r="AE49" s="406"/>
      <c r="AF49" s="406"/>
      <c r="AG49" s="406"/>
      <c r="AH49" s="406"/>
    </row>
    <row r="50" spans="1:34" x14ac:dyDescent="0.3">
      <c r="A50" s="406"/>
      <c r="B50" s="411"/>
      <c r="C50" s="411"/>
      <c r="D50" s="580"/>
      <c r="E50" s="407"/>
      <c r="F50" s="407"/>
      <c r="G50" s="407"/>
      <c r="H50" s="407"/>
      <c r="I50" s="407"/>
      <c r="J50" s="407"/>
      <c r="K50" s="407"/>
      <c r="L50" s="407"/>
      <c r="M50" s="407"/>
      <c r="N50" s="407"/>
      <c r="O50" s="407"/>
      <c r="P50" s="407"/>
      <c r="Q50" s="407"/>
      <c r="R50" s="407"/>
      <c r="S50" s="407"/>
      <c r="T50" s="407"/>
      <c r="U50" s="407"/>
      <c r="V50" s="406"/>
      <c r="W50" s="6">
        <f t="shared" si="2"/>
        <v>14</v>
      </c>
      <c r="X50" s="472">
        <f t="shared" si="3"/>
        <v>15</v>
      </c>
      <c r="Y50" s="473">
        <f t="shared" si="1"/>
        <v>0.25</v>
      </c>
      <c r="Z50" s="474">
        <f t="shared" si="0"/>
        <v>0</v>
      </c>
      <c r="AA50" s="406"/>
      <c r="AB50" s="406"/>
      <c r="AC50" s="406"/>
      <c r="AD50" s="406"/>
      <c r="AE50" s="406"/>
      <c r="AF50" s="406"/>
      <c r="AG50" s="406"/>
      <c r="AH50" s="406"/>
    </row>
    <row r="51" spans="1:34" x14ac:dyDescent="0.3">
      <c r="A51" s="406"/>
      <c r="B51" s="411"/>
      <c r="C51" s="411"/>
      <c r="D51" s="406"/>
      <c r="E51" s="407"/>
      <c r="F51" s="407"/>
      <c r="G51" s="407"/>
      <c r="H51" s="407"/>
      <c r="I51" s="407"/>
      <c r="J51" s="407"/>
      <c r="K51" s="407"/>
      <c r="L51" s="407"/>
      <c r="M51" s="407"/>
      <c r="N51" s="407"/>
      <c r="O51" s="407"/>
      <c r="P51" s="407"/>
      <c r="Q51" s="407"/>
      <c r="R51" s="407"/>
      <c r="S51" s="407"/>
      <c r="T51" s="407"/>
      <c r="U51" s="407"/>
      <c r="V51" s="406"/>
      <c r="W51" s="6">
        <f t="shared" si="2"/>
        <v>15</v>
      </c>
      <c r="X51" s="472">
        <f t="shared" si="3"/>
        <v>16</v>
      </c>
      <c r="Y51" s="473">
        <f t="shared" si="1"/>
        <v>0.25</v>
      </c>
      <c r="Z51" s="474">
        <f t="shared" si="0"/>
        <v>0</v>
      </c>
      <c r="AA51" s="406"/>
      <c r="AB51" s="406"/>
      <c r="AC51" s="406"/>
      <c r="AD51" s="406"/>
      <c r="AE51" s="406"/>
      <c r="AF51" s="406"/>
      <c r="AG51" s="406"/>
      <c r="AH51" s="406"/>
    </row>
    <row r="52" spans="1:34" x14ac:dyDescent="0.3">
      <c r="A52" s="406"/>
      <c r="B52" s="411"/>
      <c r="C52" s="411"/>
      <c r="D52" s="406"/>
      <c r="E52" s="407"/>
      <c r="F52" s="407"/>
      <c r="G52" s="407"/>
      <c r="H52" s="407"/>
      <c r="I52" s="407"/>
      <c r="J52" s="407"/>
      <c r="K52" s="407"/>
      <c r="L52" s="407"/>
      <c r="M52" s="407"/>
      <c r="N52" s="407"/>
      <c r="O52" s="407"/>
      <c r="P52" s="407"/>
      <c r="Q52" s="407"/>
      <c r="R52" s="407"/>
      <c r="S52" s="407"/>
      <c r="T52" s="407"/>
      <c r="U52" s="407"/>
      <c r="V52" s="406"/>
      <c r="W52" s="6">
        <f t="shared" si="2"/>
        <v>16</v>
      </c>
      <c r="X52" s="472">
        <f t="shared" si="3"/>
        <v>17</v>
      </c>
      <c r="Y52" s="473">
        <f t="shared" si="1"/>
        <v>0.25</v>
      </c>
      <c r="Z52" s="474">
        <f t="shared" si="0"/>
        <v>0</v>
      </c>
      <c r="AA52" s="406"/>
      <c r="AB52" s="406"/>
      <c r="AC52" s="406"/>
      <c r="AD52" s="406"/>
      <c r="AE52" s="406"/>
      <c r="AF52" s="406"/>
      <c r="AG52" s="406"/>
      <c r="AH52" s="406"/>
    </row>
    <row r="53" spans="1:34" x14ac:dyDescent="0.3">
      <c r="A53" s="406"/>
      <c r="B53" s="411"/>
      <c r="C53" s="411"/>
      <c r="D53" s="406"/>
      <c r="E53" s="466"/>
      <c r="F53" s="407"/>
      <c r="G53" s="407"/>
      <c r="H53" s="407"/>
      <c r="I53" s="407"/>
      <c r="J53" s="407"/>
      <c r="K53" s="407"/>
      <c r="L53" s="407"/>
      <c r="M53" s="407"/>
      <c r="N53" s="407"/>
      <c r="O53" s="407"/>
      <c r="P53" s="407"/>
      <c r="Q53" s="407"/>
      <c r="R53" s="407"/>
      <c r="S53" s="407"/>
      <c r="T53" s="407"/>
      <c r="U53" s="407"/>
      <c r="V53" s="406"/>
      <c r="W53" s="6">
        <f t="shared" si="2"/>
        <v>17</v>
      </c>
      <c r="X53" s="472">
        <f t="shared" si="3"/>
        <v>18</v>
      </c>
      <c r="Y53" s="473">
        <f t="shared" si="1"/>
        <v>0.25</v>
      </c>
      <c r="Z53" s="474">
        <f t="shared" si="0"/>
        <v>0</v>
      </c>
      <c r="AA53" s="406"/>
      <c r="AB53" s="406"/>
      <c r="AC53" s="406"/>
      <c r="AD53" s="406"/>
      <c r="AE53" s="406"/>
      <c r="AF53" s="406"/>
      <c r="AG53" s="406"/>
      <c r="AH53" s="406"/>
    </row>
    <row r="54" spans="1:34" x14ac:dyDescent="0.3">
      <c r="A54" s="406"/>
      <c r="B54" s="411"/>
      <c r="C54" s="411"/>
      <c r="D54" s="406"/>
      <c r="E54" s="466"/>
      <c r="F54" s="407"/>
      <c r="G54" s="407"/>
      <c r="H54" s="407"/>
      <c r="I54" s="407"/>
      <c r="J54" s="407"/>
      <c r="K54" s="407"/>
      <c r="L54" s="407"/>
      <c r="M54" s="407"/>
      <c r="N54" s="407"/>
      <c r="O54" s="407"/>
      <c r="P54" s="407"/>
      <c r="Q54" s="407"/>
      <c r="R54" s="407"/>
      <c r="S54" s="407"/>
      <c r="T54" s="407"/>
      <c r="U54" s="407"/>
      <c r="V54" s="406"/>
      <c r="W54" s="6">
        <f t="shared" si="2"/>
        <v>18</v>
      </c>
      <c r="X54" s="472">
        <f t="shared" si="3"/>
        <v>19</v>
      </c>
      <c r="Y54" s="473">
        <f t="shared" si="1"/>
        <v>0.25</v>
      </c>
      <c r="Z54" s="474">
        <f t="shared" si="0"/>
        <v>0</v>
      </c>
      <c r="AA54" s="406"/>
      <c r="AB54" s="406"/>
      <c r="AC54" s="406"/>
      <c r="AD54" s="406"/>
      <c r="AE54" s="406"/>
      <c r="AF54" s="406"/>
      <c r="AG54" s="406"/>
      <c r="AH54" s="406"/>
    </row>
    <row r="55" spans="1:34" x14ac:dyDescent="0.3">
      <c r="A55" s="406"/>
      <c r="B55" s="411"/>
      <c r="C55" s="411"/>
      <c r="D55" s="406"/>
      <c r="E55" s="433"/>
      <c r="F55" s="433"/>
      <c r="G55" s="433"/>
      <c r="H55" s="433"/>
      <c r="I55" s="433"/>
      <c r="J55" s="433"/>
      <c r="K55" s="433"/>
      <c r="L55" s="433"/>
      <c r="M55" s="433"/>
      <c r="N55" s="433"/>
      <c r="O55" s="433"/>
      <c r="P55" s="433"/>
      <c r="Q55" s="433"/>
      <c r="R55" s="433"/>
      <c r="S55" s="433"/>
      <c r="T55" s="433"/>
      <c r="U55" s="433"/>
      <c r="W55" s="6">
        <f t="shared" si="2"/>
        <v>19</v>
      </c>
      <c r="X55" s="472">
        <f t="shared" si="3"/>
        <v>20</v>
      </c>
      <c r="Y55" s="473">
        <f t="shared" si="1"/>
        <v>0.25</v>
      </c>
      <c r="Z55" s="474">
        <f t="shared" si="0"/>
        <v>0</v>
      </c>
      <c r="AA55" s="406"/>
      <c r="AB55" s="406"/>
      <c r="AC55" s="406"/>
      <c r="AD55" s="406"/>
      <c r="AE55" s="406"/>
      <c r="AF55" s="406"/>
      <c r="AG55" s="406"/>
      <c r="AH55" s="406"/>
    </row>
    <row r="56" spans="1:34" x14ac:dyDescent="0.3">
      <c r="B56" s="411"/>
      <c r="C56" s="411"/>
      <c r="D56" s="411"/>
      <c r="E56" s="411"/>
      <c r="W56" s="6">
        <f t="shared" si="2"/>
        <v>20</v>
      </c>
      <c r="X56" s="472">
        <f t="shared" si="3"/>
        <v>21</v>
      </c>
      <c r="Y56" s="473">
        <f t="shared" si="1"/>
        <v>0.25</v>
      </c>
      <c r="Z56" s="474">
        <f t="shared" si="0"/>
        <v>0</v>
      </c>
      <c r="AA56" s="406"/>
      <c r="AB56" s="406"/>
    </row>
    <row r="57" spans="1:34" x14ac:dyDescent="0.3">
      <c r="B57" s="411"/>
      <c r="C57" s="411"/>
      <c r="D57" s="411"/>
      <c r="E57" s="411"/>
      <c r="W57" s="6">
        <f t="shared" si="2"/>
        <v>21</v>
      </c>
      <c r="X57" s="472">
        <f t="shared" si="3"/>
        <v>22</v>
      </c>
      <c r="Y57" s="473">
        <f t="shared" si="1"/>
        <v>0.25</v>
      </c>
      <c r="Z57" s="474">
        <f t="shared" si="0"/>
        <v>0</v>
      </c>
    </row>
    <row r="58" spans="1:34" x14ac:dyDescent="0.3">
      <c r="B58" s="411"/>
      <c r="C58" s="411"/>
      <c r="D58" s="411"/>
      <c r="E58" s="411"/>
      <c r="W58" s="6">
        <f t="shared" si="2"/>
        <v>22</v>
      </c>
      <c r="X58" s="472">
        <f t="shared" si="3"/>
        <v>23</v>
      </c>
      <c r="Y58" s="473">
        <f t="shared" si="1"/>
        <v>0.25</v>
      </c>
      <c r="Z58" s="474">
        <f t="shared" si="0"/>
        <v>0</v>
      </c>
    </row>
    <row r="59" spans="1:34" x14ac:dyDescent="0.3">
      <c r="B59" s="411"/>
      <c r="C59" s="411"/>
      <c r="D59" s="411"/>
      <c r="E59" s="411"/>
      <c r="W59" s="6">
        <f t="shared" si="2"/>
        <v>23</v>
      </c>
      <c r="X59" s="472">
        <f t="shared" si="3"/>
        <v>24</v>
      </c>
      <c r="Y59" s="473">
        <f t="shared" si="1"/>
        <v>0.25</v>
      </c>
      <c r="Z59" s="474">
        <f t="shared" si="0"/>
        <v>0</v>
      </c>
    </row>
    <row r="60" spans="1:34" x14ac:dyDescent="0.3">
      <c r="B60" s="411"/>
      <c r="C60" s="411"/>
      <c r="D60" s="411"/>
      <c r="E60" s="411"/>
      <c r="W60" s="6">
        <f t="shared" si="2"/>
        <v>24</v>
      </c>
      <c r="X60" s="472">
        <f t="shared" si="3"/>
        <v>25</v>
      </c>
      <c r="Y60" s="473">
        <f t="shared" si="1"/>
        <v>0.5</v>
      </c>
      <c r="Z60" s="474">
        <f t="shared" si="0"/>
        <v>0</v>
      </c>
    </row>
    <row r="61" spans="1:34" x14ac:dyDescent="0.3">
      <c r="B61" s="411"/>
      <c r="C61" s="411"/>
      <c r="D61" s="411"/>
      <c r="E61" s="411"/>
      <c r="W61" s="6">
        <f t="shared" si="2"/>
        <v>25</v>
      </c>
      <c r="X61" s="472">
        <f t="shared" si="3"/>
        <v>26</v>
      </c>
      <c r="Y61" s="473">
        <f t="shared" si="1"/>
        <v>0.5</v>
      </c>
      <c r="Z61" s="474">
        <f t="shared" si="0"/>
        <v>0</v>
      </c>
    </row>
    <row r="62" spans="1:34" x14ac:dyDescent="0.3">
      <c r="B62" s="411"/>
      <c r="C62" s="411"/>
      <c r="D62" s="411"/>
      <c r="E62" s="411"/>
      <c r="W62" s="6">
        <f t="shared" si="2"/>
        <v>26</v>
      </c>
      <c r="X62" s="472">
        <f t="shared" si="3"/>
        <v>27</v>
      </c>
      <c r="Y62" s="473">
        <f t="shared" si="1"/>
        <v>0.5</v>
      </c>
      <c r="Z62" s="474">
        <f t="shared" si="0"/>
        <v>0</v>
      </c>
    </row>
    <row r="63" spans="1:34" x14ac:dyDescent="0.3">
      <c r="B63" s="411"/>
      <c r="C63" s="411"/>
      <c r="D63" s="411"/>
      <c r="E63" s="411"/>
      <c r="W63" s="6">
        <f t="shared" si="2"/>
        <v>27</v>
      </c>
      <c r="X63" s="472">
        <f t="shared" si="3"/>
        <v>28</v>
      </c>
      <c r="Y63" s="473">
        <f t="shared" si="1"/>
        <v>0.5</v>
      </c>
      <c r="Z63" s="474">
        <f t="shared" si="0"/>
        <v>0</v>
      </c>
    </row>
    <row r="64" spans="1:34" x14ac:dyDescent="0.3">
      <c r="B64" s="411"/>
      <c r="C64" s="411"/>
      <c r="D64" s="411"/>
      <c r="E64" s="411"/>
      <c r="W64" s="6">
        <f t="shared" si="2"/>
        <v>28</v>
      </c>
      <c r="X64" s="472">
        <f t="shared" si="3"/>
        <v>29</v>
      </c>
      <c r="Y64" s="473">
        <f t="shared" si="1"/>
        <v>0.5</v>
      </c>
      <c r="Z64" s="474">
        <f t="shared" si="0"/>
        <v>0</v>
      </c>
    </row>
    <row r="65" spans="2:26" x14ac:dyDescent="0.3">
      <c r="B65" s="411"/>
      <c r="C65" s="411"/>
      <c r="D65" s="411"/>
      <c r="E65" s="411"/>
      <c r="W65" s="6">
        <f t="shared" si="2"/>
        <v>29</v>
      </c>
      <c r="X65" s="472">
        <f t="shared" si="3"/>
        <v>30</v>
      </c>
      <c r="Y65" s="473">
        <f t="shared" si="1"/>
        <v>0.5</v>
      </c>
      <c r="Z65" s="474">
        <f t="shared" si="0"/>
        <v>0</v>
      </c>
    </row>
    <row r="66" spans="2:26" x14ac:dyDescent="0.3">
      <c r="B66" s="411"/>
      <c r="C66" s="411"/>
      <c r="D66" s="411"/>
      <c r="E66" s="411"/>
      <c r="W66" s="6">
        <f t="shared" si="2"/>
        <v>30</v>
      </c>
      <c r="X66" s="472">
        <f t="shared" si="3"/>
        <v>31</v>
      </c>
      <c r="Y66" s="473">
        <f t="shared" si="1"/>
        <v>0.5</v>
      </c>
      <c r="Z66" s="474">
        <f t="shared" si="0"/>
        <v>0</v>
      </c>
    </row>
    <row r="67" spans="2:26" x14ac:dyDescent="0.3">
      <c r="B67" s="411"/>
      <c r="C67" s="411"/>
      <c r="D67" s="411"/>
      <c r="E67" s="411"/>
      <c r="W67" s="6">
        <f t="shared" si="2"/>
        <v>31</v>
      </c>
      <c r="X67" s="472">
        <f t="shared" si="3"/>
        <v>32</v>
      </c>
      <c r="Y67" s="473">
        <f t="shared" si="1"/>
        <v>0.5</v>
      </c>
      <c r="Z67" s="474">
        <f t="shared" si="0"/>
        <v>0</v>
      </c>
    </row>
    <row r="68" spans="2:26" x14ac:dyDescent="0.3">
      <c r="B68" s="411"/>
      <c r="C68" s="411"/>
      <c r="D68" s="411"/>
      <c r="E68" s="411"/>
      <c r="W68" s="6">
        <f t="shared" si="2"/>
        <v>32</v>
      </c>
      <c r="X68" s="472">
        <f t="shared" si="3"/>
        <v>33</v>
      </c>
      <c r="Y68" s="473">
        <f t="shared" si="1"/>
        <v>0.5</v>
      </c>
      <c r="Z68" s="474">
        <f t="shared" si="0"/>
        <v>0</v>
      </c>
    </row>
    <row r="69" spans="2:26" x14ac:dyDescent="0.3">
      <c r="B69" s="411"/>
      <c r="C69" s="411"/>
      <c r="D69" s="411"/>
      <c r="E69" s="411"/>
      <c r="W69" s="6">
        <f t="shared" si="2"/>
        <v>33</v>
      </c>
      <c r="X69" s="472">
        <f t="shared" si="3"/>
        <v>34</v>
      </c>
      <c r="Y69" s="473">
        <f t="shared" si="1"/>
        <v>0.5</v>
      </c>
      <c r="Z69" s="474">
        <f t="shared" si="0"/>
        <v>0</v>
      </c>
    </row>
    <row r="70" spans="2:26" x14ac:dyDescent="0.3">
      <c r="B70" s="411"/>
      <c r="C70" s="411"/>
      <c r="D70" s="411"/>
      <c r="E70" s="411"/>
      <c r="W70" s="6">
        <f t="shared" si="2"/>
        <v>34</v>
      </c>
      <c r="X70" s="472">
        <f t="shared" si="3"/>
        <v>35</v>
      </c>
      <c r="Y70" s="473">
        <f t="shared" si="1"/>
        <v>0.5</v>
      </c>
      <c r="Z70" s="474">
        <f t="shared" si="0"/>
        <v>0</v>
      </c>
    </row>
    <row r="71" spans="2:26" x14ac:dyDescent="0.3">
      <c r="B71" s="411"/>
      <c r="C71" s="411"/>
      <c r="D71" s="411"/>
      <c r="E71" s="411"/>
      <c r="W71" s="6">
        <f t="shared" si="2"/>
        <v>35</v>
      </c>
      <c r="X71" s="472">
        <f t="shared" si="3"/>
        <v>36</v>
      </c>
      <c r="Y71" s="473">
        <f t="shared" si="1"/>
        <v>0.5</v>
      </c>
      <c r="Z71" s="474">
        <f t="shared" si="0"/>
        <v>0</v>
      </c>
    </row>
    <row r="72" spans="2:26" x14ac:dyDescent="0.3">
      <c r="B72" s="411"/>
      <c r="C72" s="411"/>
      <c r="D72" s="411"/>
      <c r="E72" s="411"/>
      <c r="W72" s="6">
        <f t="shared" si="2"/>
        <v>36</v>
      </c>
      <c r="X72" s="472">
        <f t="shared" si="3"/>
        <v>37</v>
      </c>
      <c r="Y72" s="473">
        <f t="shared" si="1"/>
        <v>0.75</v>
      </c>
      <c r="Z72" s="474">
        <f t="shared" si="0"/>
        <v>0</v>
      </c>
    </row>
    <row r="73" spans="2:26" x14ac:dyDescent="0.3">
      <c r="B73" s="411"/>
      <c r="C73" s="411"/>
      <c r="D73" s="411"/>
      <c r="E73" s="411"/>
      <c r="W73" s="6">
        <f t="shared" si="2"/>
        <v>37</v>
      </c>
      <c r="X73" s="472">
        <f t="shared" si="3"/>
        <v>38</v>
      </c>
      <c r="Y73" s="473">
        <f t="shared" si="1"/>
        <v>0.75</v>
      </c>
      <c r="Z73" s="474">
        <f t="shared" si="0"/>
        <v>0</v>
      </c>
    </row>
    <row r="74" spans="2:26" x14ac:dyDescent="0.3">
      <c r="B74" s="411"/>
      <c r="C74" s="411"/>
      <c r="D74" s="411"/>
      <c r="E74" s="411"/>
      <c r="W74" s="6">
        <f t="shared" si="2"/>
        <v>38</v>
      </c>
      <c r="X74" s="472">
        <f t="shared" si="3"/>
        <v>39</v>
      </c>
      <c r="Y74" s="473">
        <f t="shared" si="1"/>
        <v>0.75</v>
      </c>
      <c r="Z74" s="474">
        <f t="shared" si="0"/>
        <v>0</v>
      </c>
    </row>
    <row r="75" spans="2:26" x14ac:dyDescent="0.3">
      <c r="B75" s="411"/>
      <c r="C75" s="411"/>
      <c r="D75" s="411"/>
      <c r="E75" s="411"/>
      <c r="W75" s="6">
        <f t="shared" si="2"/>
        <v>39</v>
      </c>
      <c r="X75" s="472">
        <f t="shared" si="3"/>
        <v>40</v>
      </c>
      <c r="Y75" s="473">
        <f t="shared" si="1"/>
        <v>0.75</v>
      </c>
      <c r="Z75" s="474">
        <f t="shared" si="0"/>
        <v>0</v>
      </c>
    </row>
    <row r="76" spans="2:26" x14ac:dyDescent="0.3">
      <c r="B76" s="411"/>
      <c r="C76" s="411"/>
      <c r="D76" s="411"/>
      <c r="E76" s="411"/>
      <c r="W76" s="6">
        <f t="shared" si="2"/>
        <v>40</v>
      </c>
      <c r="X76" s="472">
        <f t="shared" si="3"/>
        <v>41</v>
      </c>
      <c r="Y76" s="473">
        <f t="shared" si="1"/>
        <v>0.75</v>
      </c>
      <c r="Z76" s="474">
        <f t="shared" si="0"/>
        <v>0</v>
      </c>
    </row>
    <row r="77" spans="2:26" x14ac:dyDescent="0.3">
      <c r="B77" s="411"/>
      <c r="C77" s="411"/>
      <c r="D77" s="411"/>
      <c r="E77" s="411"/>
      <c r="W77" s="6">
        <f t="shared" si="2"/>
        <v>41</v>
      </c>
      <c r="X77" s="472">
        <f t="shared" si="3"/>
        <v>42</v>
      </c>
      <c r="Y77" s="473">
        <f t="shared" si="1"/>
        <v>0.75</v>
      </c>
      <c r="Z77" s="474">
        <f t="shared" si="0"/>
        <v>0</v>
      </c>
    </row>
    <row r="78" spans="2:26" x14ac:dyDescent="0.3">
      <c r="B78" s="411"/>
      <c r="C78" s="411"/>
      <c r="D78" s="411"/>
      <c r="E78" s="411"/>
      <c r="W78" s="6">
        <f t="shared" si="2"/>
        <v>42</v>
      </c>
      <c r="X78" s="472">
        <f t="shared" si="3"/>
        <v>43</v>
      </c>
      <c r="Y78" s="473">
        <f t="shared" si="1"/>
        <v>0.75</v>
      </c>
      <c r="Z78" s="474">
        <f t="shared" si="0"/>
        <v>0</v>
      </c>
    </row>
    <row r="79" spans="2:26" x14ac:dyDescent="0.3">
      <c r="B79" s="411"/>
      <c r="C79" s="411"/>
      <c r="D79" s="411"/>
      <c r="E79" s="411"/>
      <c r="W79" s="6">
        <f t="shared" si="2"/>
        <v>43</v>
      </c>
      <c r="X79" s="472">
        <f t="shared" si="3"/>
        <v>44</v>
      </c>
      <c r="Y79" s="473">
        <f t="shared" si="1"/>
        <v>0.75</v>
      </c>
      <c r="Z79" s="474">
        <f t="shared" si="0"/>
        <v>0</v>
      </c>
    </row>
    <row r="80" spans="2:26" x14ac:dyDescent="0.3">
      <c r="B80" s="411"/>
      <c r="C80" s="411"/>
      <c r="D80" s="411"/>
      <c r="E80" s="411"/>
      <c r="W80" s="6">
        <f t="shared" si="2"/>
        <v>44</v>
      </c>
      <c r="X80" s="472">
        <f t="shared" si="3"/>
        <v>45</v>
      </c>
      <c r="Y80" s="473">
        <f t="shared" si="1"/>
        <v>0.75</v>
      </c>
      <c r="Z80" s="474">
        <f t="shared" si="0"/>
        <v>0</v>
      </c>
    </row>
    <row r="81" spans="2:26" x14ac:dyDescent="0.3">
      <c r="B81" s="411"/>
      <c r="C81" s="411"/>
      <c r="D81" s="411"/>
      <c r="E81" s="411"/>
      <c r="W81" s="6">
        <f t="shared" si="2"/>
        <v>45</v>
      </c>
      <c r="X81" s="472">
        <f t="shared" si="3"/>
        <v>46</v>
      </c>
      <c r="Y81" s="473">
        <f t="shared" si="1"/>
        <v>0.75</v>
      </c>
      <c r="Z81" s="474">
        <f t="shared" si="0"/>
        <v>0</v>
      </c>
    </row>
    <row r="82" spans="2:26" x14ac:dyDescent="0.3">
      <c r="B82" s="411"/>
      <c r="C82" s="411"/>
      <c r="D82" s="411"/>
      <c r="E82" s="411"/>
      <c r="W82" s="6">
        <f t="shared" si="2"/>
        <v>46</v>
      </c>
      <c r="X82" s="472">
        <f t="shared" si="3"/>
        <v>47</v>
      </c>
      <c r="Y82" s="473">
        <f t="shared" si="1"/>
        <v>0.75</v>
      </c>
      <c r="Z82" s="474">
        <f t="shared" si="0"/>
        <v>0</v>
      </c>
    </row>
    <row r="83" spans="2:26" x14ac:dyDescent="0.3">
      <c r="B83" s="411"/>
      <c r="C83" s="411"/>
      <c r="D83" s="411"/>
      <c r="E83" s="411"/>
      <c r="W83" s="6">
        <f t="shared" si="2"/>
        <v>47</v>
      </c>
      <c r="X83" s="472">
        <f t="shared" si="3"/>
        <v>48</v>
      </c>
      <c r="Y83" s="473">
        <f t="shared" si="1"/>
        <v>0.75</v>
      </c>
      <c r="Z83" s="474">
        <f t="shared" si="0"/>
        <v>0</v>
      </c>
    </row>
    <row r="84" spans="2:26" x14ac:dyDescent="0.3">
      <c r="B84" s="411"/>
      <c r="C84" s="411"/>
      <c r="D84" s="411"/>
      <c r="E84" s="411"/>
      <c r="W84" s="6">
        <f t="shared" si="2"/>
        <v>48</v>
      </c>
      <c r="X84" s="472">
        <f t="shared" si="3"/>
        <v>49</v>
      </c>
      <c r="Y84" s="473">
        <f t="shared" si="1"/>
        <v>0.75</v>
      </c>
      <c r="Z84" s="474">
        <f t="shared" si="0"/>
        <v>0</v>
      </c>
    </row>
    <row r="85" spans="2:26" x14ac:dyDescent="0.3">
      <c r="B85" s="411"/>
      <c r="C85" s="411"/>
      <c r="D85" s="411"/>
      <c r="E85" s="411"/>
      <c r="W85" s="6">
        <f t="shared" si="2"/>
        <v>49</v>
      </c>
      <c r="X85" s="472">
        <f t="shared" si="3"/>
        <v>50</v>
      </c>
      <c r="Y85" s="473">
        <f t="shared" si="1"/>
        <v>1</v>
      </c>
      <c r="Z85" s="474">
        <f t="shared" si="0"/>
        <v>0</v>
      </c>
    </row>
    <row r="86" spans="2:26" x14ac:dyDescent="0.3">
      <c r="B86" s="411"/>
      <c r="C86" s="411"/>
      <c r="D86" s="411"/>
      <c r="E86" s="411"/>
      <c r="W86" s="6">
        <f t="shared" si="2"/>
        <v>50</v>
      </c>
      <c r="X86" s="472">
        <f t="shared" si="3"/>
        <v>51</v>
      </c>
      <c r="Y86" s="473">
        <f t="shared" si="1"/>
        <v>1</v>
      </c>
      <c r="Z86" s="474">
        <f t="shared" si="0"/>
        <v>0</v>
      </c>
    </row>
    <row r="87" spans="2:26" x14ac:dyDescent="0.3">
      <c r="B87" s="411"/>
      <c r="C87" s="411"/>
      <c r="D87" s="411"/>
      <c r="E87" s="411"/>
      <c r="W87" s="6">
        <f t="shared" si="2"/>
        <v>51</v>
      </c>
      <c r="X87" s="472">
        <f t="shared" si="3"/>
        <v>52</v>
      </c>
      <c r="Y87" s="473">
        <f t="shared" si="1"/>
        <v>1</v>
      </c>
      <c r="Z87" s="474">
        <f t="shared" si="0"/>
        <v>0</v>
      </c>
    </row>
    <row r="88" spans="2:26" x14ac:dyDescent="0.3">
      <c r="B88" s="411"/>
      <c r="C88" s="411"/>
      <c r="D88" s="411"/>
      <c r="E88" s="411"/>
      <c r="W88" s="6">
        <f t="shared" si="2"/>
        <v>52</v>
      </c>
      <c r="X88" s="472">
        <f t="shared" si="3"/>
        <v>53</v>
      </c>
      <c r="Y88" s="473">
        <f t="shared" si="1"/>
        <v>1</v>
      </c>
      <c r="Z88" s="474">
        <f t="shared" si="0"/>
        <v>0</v>
      </c>
    </row>
    <row r="89" spans="2:26" x14ac:dyDescent="0.3">
      <c r="B89" s="411"/>
      <c r="C89" s="411"/>
      <c r="D89" s="411"/>
      <c r="E89" s="411"/>
      <c r="W89" s="6">
        <f t="shared" si="2"/>
        <v>53</v>
      </c>
      <c r="X89" s="472">
        <f t="shared" si="3"/>
        <v>54</v>
      </c>
      <c r="Y89" s="473">
        <f t="shared" si="1"/>
        <v>1</v>
      </c>
      <c r="Z89" s="474">
        <f t="shared" si="0"/>
        <v>0</v>
      </c>
    </row>
    <row r="90" spans="2:26" x14ac:dyDescent="0.3">
      <c r="B90" s="411"/>
      <c r="C90" s="411"/>
      <c r="D90" s="411"/>
      <c r="E90" s="411"/>
      <c r="W90" s="6">
        <f t="shared" si="2"/>
        <v>54</v>
      </c>
      <c r="X90" s="472">
        <f t="shared" si="3"/>
        <v>55</v>
      </c>
      <c r="Y90" s="473">
        <f t="shared" si="1"/>
        <v>1</v>
      </c>
      <c r="Z90" s="474">
        <f t="shared" si="0"/>
        <v>0</v>
      </c>
    </row>
    <row r="91" spans="2:26" x14ac:dyDescent="0.3">
      <c r="B91" s="411"/>
      <c r="C91" s="411"/>
      <c r="D91" s="411"/>
      <c r="E91" s="411"/>
      <c r="W91" s="6">
        <f t="shared" si="2"/>
        <v>55</v>
      </c>
      <c r="X91" s="472">
        <f t="shared" si="3"/>
        <v>56</v>
      </c>
      <c r="Y91" s="473">
        <f t="shared" si="1"/>
        <v>1</v>
      </c>
      <c r="Z91" s="474">
        <f t="shared" si="0"/>
        <v>0</v>
      </c>
    </row>
    <row r="92" spans="2:26" x14ac:dyDescent="0.3">
      <c r="B92" s="411"/>
      <c r="C92" s="411"/>
      <c r="D92" s="411"/>
      <c r="E92" s="411"/>
      <c r="W92" s="6">
        <f t="shared" si="2"/>
        <v>56</v>
      </c>
      <c r="X92" s="472">
        <f t="shared" si="3"/>
        <v>57</v>
      </c>
      <c r="Y92" s="473">
        <f t="shared" si="1"/>
        <v>1</v>
      </c>
      <c r="Z92" s="474">
        <f t="shared" si="0"/>
        <v>0</v>
      </c>
    </row>
    <row r="93" spans="2:26" x14ac:dyDescent="0.3">
      <c r="B93" s="411"/>
      <c r="C93" s="411"/>
      <c r="D93" s="411"/>
      <c r="E93" s="411"/>
      <c r="W93" s="6">
        <f t="shared" si="2"/>
        <v>57</v>
      </c>
      <c r="X93" s="472">
        <f t="shared" si="3"/>
        <v>58</v>
      </c>
      <c r="Y93" s="473">
        <f t="shared" si="1"/>
        <v>1</v>
      </c>
      <c r="Z93" s="474">
        <f t="shared" si="0"/>
        <v>0</v>
      </c>
    </row>
    <row r="94" spans="2:26" x14ac:dyDescent="0.3">
      <c r="B94" s="411"/>
      <c r="C94" s="411"/>
      <c r="D94" s="411"/>
      <c r="E94" s="411"/>
      <c r="W94" s="6">
        <f t="shared" si="2"/>
        <v>58</v>
      </c>
      <c r="X94" s="472">
        <f t="shared" si="3"/>
        <v>59</v>
      </c>
      <c r="Y94" s="473">
        <f t="shared" si="1"/>
        <v>1</v>
      </c>
      <c r="Z94" s="474">
        <f t="shared" si="0"/>
        <v>0</v>
      </c>
    </row>
    <row r="95" spans="2:26" x14ac:dyDescent="0.3">
      <c r="B95" s="411"/>
      <c r="C95" s="411"/>
      <c r="D95" s="411"/>
      <c r="E95" s="411"/>
      <c r="W95" s="6">
        <f t="shared" si="2"/>
        <v>59</v>
      </c>
      <c r="X95" s="472">
        <f t="shared" si="3"/>
        <v>60</v>
      </c>
      <c r="Y95" s="473">
        <f t="shared" si="1"/>
        <v>1</v>
      </c>
      <c r="Z95" s="474">
        <f t="shared" si="0"/>
        <v>0</v>
      </c>
    </row>
    <row r="96" spans="2:26" x14ac:dyDescent="0.3">
      <c r="B96" s="411"/>
      <c r="C96" s="411"/>
      <c r="D96" s="411"/>
      <c r="E96" s="411"/>
      <c r="W96" s="6">
        <f t="shared" si="2"/>
        <v>60</v>
      </c>
      <c r="X96" s="472">
        <f t="shared" si="3"/>
        <v>61</v>
      </c>
      <c r="Y96" s="473">
        <f t="shared" si="1"/>
        <v>1</v>
      </c>
      <c r="Z96" s="474">
        <f t="shared" si="0"/>
        <v>0</v>
      </c>
    </row>
    <row r="97" spans="2:26" x14ac:dyDescent="0.3">
      <c r="B97" s="411"/>
      <c r="C97" s="411"/>
      <c r="D97" s="411"/>
      <c r="E97" s="411"/>
      <c r="W97" s="6">
        <f t="shared" si="2"/>
        <v>61</v>
      </c>
      <c r="X97" s="472">
        <f t="shared" si="3"/>
        <v>62</v>
      </c>
      <c r="Y97" s="473">
        <f t="shared" si="1"/>
        <v>1</v>
      </c>
      <c r="Z97" s="474">
        <f t="shared" si="0"/>
        <v>0</v>
      </c>
    </row>
    <row r="98" spans="2:26" x14ac:dyDescent="0.3">
      <c r="B98" s="411"/>
      <c r="C98" s="411"/>
      <c r="D98" s="411"/>
      <c r="E98" s="411"/>
      <c r="W98" s="6">
        <f t="shared" si="2"/>
        <v>62</v>
      </c>
      <c r="X98" s="472">
        <f t="shared" si="3"/>
        <v>63</v>
      </c>
      <c r="Y98" s="473">
        <f t="shared" si="1"/>
        <v>1</v>
      </c>
      <c r="Z98" s="474">
        <f t="shared" si="0"/>
        <v>0</v>
      </c>
    </row>
    <row r="99" spans="2:26" x14ac:dyDescent="0.3">
      <c r="B99" s="411"/>
      <c r="C99" s="411"/>
      <c r="D99" s="411"/>
      <c r="E99" s="411"/>
      <c r="W99" s="6">
        <f t="shared" si="2"/>
        <v>63</v>
      </c>
      <c r="X99" s="472">
        <f t="shared" si="3"/>
        <v>64</v>
      </c>
      <c r="Y99" s="473">
        <f t="shared" si="1"/>
        <v>1</v>
      </c>
      <c r="Z99" s="474">
        <f t="shared" si="0"/>
        <v>0</v>
      </c>
    </row>
    <row r="100" spans="2:26" x14ac:dyDescent="0.3">
      <c r="B100" s="411"/>
      <c r="C100" s="411"/>
      <c r="D100" s="411"/>
      <c r="E100" s="411"/>
      <c r="W100" s="6">
        <f t="shared" si="2"/>
        <v>64</v>
      </c>
      <c r="X100" s="472">
        <f t="shared" si="3"/>
        <v>65</v>
      </c>
      <c r="Y100" s="473">
        <f t="shared" si="1"/>
        <v>1</v>
      </c>
      <c r="Z100" s="474">
        <f t="shared" ref="Z100:Z135" si="4">$C$17*Y100</f>
        <v>0</v>
      </c>
    </row>
    <row r="101" spans="2:26" x14ac:dyDescent="0.3">
      <c r="B101" s="411"/>
      <c r="C101" s="411"/>
      <c r="D101" s="411"/>
      <c r="E101" s="411"/>
      <c r="W101" s="6">
        <f t="shared" si="2"/>
        <v>65</v>
      </c>
      <c r="X101" s="472">
        <f t="shared" si="3"/>
        <v>66</v>
      </c>
      <c r="Y101" s="473">
        <f t="shared" ref="Y101:Y135" si="5">VLOOKUP(X101,$W$27:$X$31,2,1)</f>
        <v>1</v>
      </c>
      <c r="Z101" s="474">
        <f t="shared" si="4"/>
        <v>0</v>
      </c>
    </row>
    <row r="102" spans="2:26" x14ac:dyDescent="0.3">
      <c r="B102" s="411"/>
      <c r="C102" s="411"/>
      <c r="D102" s="411"/>
      <c r="E102" s="411"/>
      <c r="W102" s="6">
        <f t="shared" ref="W102:W135" si="6">1+W101</f>
        <v>66</v>
      </c>
      <c r="X102" s="472">
        <f t="shared" ref="X102:X135" si="7">X101+1</f>
        <v>67</v>
      </c>
      <c r="Y102" s="473">
        <f t="shared" si="5"/>
        <v>1</v>
      </c>
      <c r="Z102" s="474">
        <f t="shared" si="4"/>
        <v>0</v>
      </c>
    </row>
    <row r="103" spans="2:26" x14ac:dyDescent="0.3">
      <c r="B103" s="411"/>
      <c r="C103" s="411"/>
      <c r="D103" s="411"/>
      <c r="E103" s="411"/>
      <c r="W103" s="6">
        <f t="shared" si="6"/>
        <v>67</v>
      </c>
      <c r="X103" s="472">
        <f t="shared" si="7"/>
        <v>68</v>
      </c>
      <c r="Y103" s="473">
        <f t="shared" si="5"/>
        <v>1</v>
      </c>
      <c r="Z103" s="474">
        <f t="shared" si="4"/>
        <v>0</v>
      </c>
    </row>
    <row r="104" spans="2:26" x14ac:dyDescent="0.3">
      <c r="B104" s="411"/>
      <c r="C104" s="411"/>
      <c r="D104" s="411"/>
      <c r="E104" s="411"/>
      <c r="W104" s="6">
        <f t="shared" si="6"/>
        <v>68</v>
      </c>
      <c r="X104" s="472">
        <f t="shared" si="7"/>
        <v>69</v>
      </c>
      <c r="Y104" s="473">
        <f t="shared" si="5"/>
        <v>1</v>
      </c>
      <c r="Z104" s="474">
        <f t="shared" si="4"/>
        <v>0</v>
      </c>
    </row>
    <row r="105" spans="2:26" x14ac:dyDescent="0.3">
      <c r="B105" s="411"/>
      <c r="C105" s="411"/>
      <c r="D105" s="411"/>
      <c r="E105" s="411"/>
      <c r="W105" s="6">
        <f t="shared" si="6"/>
        <v>69</v>
      </c>
      <c r="X105" s="472">
        <f t="shared" si="7"/>
        <v>70</v>
      </c>
      <c r="Y105" s="473">
        <f t="shared" si="5"/>
        <v>1</v>
      </c>
      <c r="Z105" s="474">
        <f t="shared" si="4"/>
        <v>0</v>
      </c>
    </row>
    <row r="106" spans="2:26" x14ac:dyDescent="0.3">
      <c r="B106" s="411"/>
      <c r="C106" s="411"/>
      <c r="D106" s="411"/>
      <c r="E106" s="411"/>
      <c r="W106" s="6">
        <f t="shared" si="6"/>
        <v>70</v>
      </c>
      <c r="X106" s="472">
        <f t="shared" si="7"/>
        <v>71</v>
      </c>
      <c r="Y106" s="473">
        <f t="shared" si="5"/>
        <v>1</v>
      </c>
      <c r="Z106" s="474">
        <f t="shared" si="4"/>
        <v>0</v>
      </c>
    </row>
    <row r="107" spans="2:26" x14ac:dyDescent="0.3">
      <c r="B107" s="411"/>
      <c r="C107" s="411"/>
      <c r="D107" s="411"/>
      <c r="E107" s="411"/>
      <c r="W107" s="6">
        <f t="shared" si="6"/>
        <v>71</v>
      </c>
      <c r="X107" s="472">
        <f t="shared" si="7"/>
        <v>72</v>
      </c>
      <c r="Y107" s="473">
        <f t="shared" si="5"/>
        <v>1</v>
      </c>
      <c r="Z107" s="474">
        <f t="shared" si="4"/>
        <v>0</v>
      </c>
    </row>
    <row r="108" spans="2:26" x14ac:dyDescent="0.3">
      <c r="B108" s="411"/>
      <c r="C108" s="411"/>
      <c r="D108" s="411"/>
      <c r="E108" s="411"/>
      <c r="W108" s="6">
        <f t="shared" si="6"/>
        <v>72</v>
      </c>
      <c r="X108" s="472">
        <f t="shared" si="7"/>
        <v>73</v>
      </c>
      <c r="Y108" s="473">
        <f t="shared" si="5"/>
        <v>1</v>
      </c>
      <c r="Z108" s="474">
        <f t="shared" si="4"/>
        <v>0</v>
      </c>
    </row>
    <row r="109" spans="2:26" x14ac:dyDescent="0.3">
      <c r="B109" s="411"/>
      <c r="C109" s="411"/>
      <c r="D109" s="411"/>
      <c r="E109" s="411"/>
      <c r="W109" s="6">
        <f t="shared" si="6"/>
        <v>73</v>
      </c>
      <c r="X109" s="472">
        <f t="shared" si="7"/>
        <v>74</v>
      </c>
      <c r="Y109" s="473">
        <f t="shared" si="5"/>
        <v>1</v>
      </c>
      <c r="Z109" s="474">
        <f t="shared" si="4"/>
        <v>0</v>
      </c>
    </row>
    <row r="110" spans="2:26" x14ac:dyDescent="0.3">
      <c r="B110" s="411"/>
      <c r="C110" s="411"/>
      <c r="D110" s="411"/>
      <c r="E110" s="411"/>
      <c r="W110" s="6">
        <f t="shared" si="6"/>
        <v>74</v>
      </c>
      <c r="X110" s="472">
        <f t="shared" si="7"/>
        <v>75</v>
      </c>
      <c r="Y110" s="473">
        <f t="shared" si="5"/>
        <v>1</v>
      </c>
      <c r="Z110" s="474">
        <f t="shared" si="4"/>
        <v>0</v>
      </c>
    </row>
    <row r="111" spans="2:26" x14ac:dyDescent="0.3">
      <c r="B111" s="411"/>
      <c r="C111" s="411"/>
      <c r="D111" s="411"/>
      <c r="E111" s="411"/>
      <c r="W111" s="6">
        <f t="shared" si="6"/>
        <v>75</v>
      </c>
      <c r="X111" s="472">
        <f t="shared" si="7"/>
        <v>76</v>
      </c>
      <c r="Y111" s="473">
        <f t="shared" si="5"/>
        <v>1</v>
      </c>
      <c r="Z111" s="474">
        <f t="shared" si="4"/>
        <v>0</v>
      </c>
    </row>
    <row r="112" spans="2:26" x14ac:dyDescent="0.3">
      <c r="B112" s="411"/>
      <c r="C112" s="411"/>
      <c r="D112" s="411"/>
      <c r="E112" s="411"/>
      <c r="W112" s="6">
        <f t="shared" si="6"/>
        <v>76</v>
      </c>
      <c r="X112" s="472">
        <f t="shared" si="7"/>
        <v>77</v>
      </c>
      <c r="Y112" s="473">
        <f t="shared" si="5"/>
        <v>1</v>
      </c>
      <c r="Z112" s="474">
        <f t="shared" si="4"/>
        <v>0</v>
      </c>
    </row>
    <row r="113" spans="2:26" x14ac:dyDescent="0.3">
      <c r="B113" s="411"/>
      <c r="C113" s="411"/>
      <c r="D113" s="411"/>
      <c r="E113" s="411"/>
      <c r="W113" s="6">
        <f t="shared" si="6"/>
        <v>77</v>
      </c>
      <c r="X113" s="472">
        <f t="shared" si="7"/>
        <v>78</v>
      </c>
      <c r="Y113" s="473">
        <f t="shared" si="5"/>
        <v>1</v>
      </c>
      <c r="Z113" s="474">
        <f t="shared" si="4"/>
        <v>0</v>
      </c>
    </row>
    <row r="114" spans="2:26" x14ac:dyDescent="0.3">
      <c r="B114" s="411"/>
      <c r="C114" s="411"/>
      <c r="D114" s="411"/>
      <c r="E114" s="411"/>
      <c r="W114" s="6">
        <f t="shared" si="6"/>
        <v>78</v>
      </c>
      <c r="X114" s="472">
        <f t="shared" si="7"/>
        <v>79</v>
      </c>
      <c r="Y114" s="473">
        <f t="shared" si="5"/>
        <v>1</v>
      </c>
      <c r="Z114" s="474">
        <f t="shared" si="4"/>
        <v>0</v>
      </c>
    </row>
    <row r="115" spans="2:26" x14ac:dyDescent="0.3">
      <c r="B115" s="411"/>
      <c r="C115" s="411"/>
      <c r="D115" s="411"/>
      <c r="E115" s="411"/>
      <c r="W115" s="6">
        <f t="shared" si="6"/>
        <v>79</v>
      </c>
      <c r="X115" s="472">
        <f t="shared" si="7"/>
        <v>80</v>
      </c>
      <c r="Y115" s="473">
        <f t="shared" si="5"/>
        <v>1</v>
      </c>
      <c r="Z115" s="474">
        <f t="shared" si="4"/>
        <v>0</v>
      </c>
    </row>
    <row r="116" spans="2:26" x14ac:dyDescent="0.3">
      <c r="B116" s="411"/>
      <c r="C116" s="411"/>
      <c r="D116" s="411"/>
      <c r="E116" s="411"/>
      <c r="W116" s="6">
        <f t="shared" si="6"/>
        <v>80</v>
      </c>
      <c r="X116" s="472">
        <f t="shared" si="7"/>
        <v>81</v>
      </c>
      <c r="Y116" s="473">
        <f t="shared" si="5"/>
        <v>1</v>
      </c>
      <c r="Z116" s="474">
        <f t="shared" si="4"/>
        <v>0</v>
      </c>
    </row>
    <row r="117" spans="2:26" x14ac:dyDescent="0.3">
      <c r="B117" s="411"/>
      <c r="C117" s="411"/>
      <c r="D117" s="411"/>
      <c r="E117" s="411"/>
      <c r="W117" s="6">
        <f t="shared" si="6"/>
        <v>81</v>
      </c>
      <c r="X117" s="472">
        <f t="shared" si="7"/>
        <v>82</v>
      </c>
      <c r="Y117" s="473">
        <f t="shared" si="5"/>
        <v>1</v>
      </c>
      <c r="Z117" s="474">
        <f t="shared" si="4"/>
        <v>0</v>
      </c>
    </row>
    <row r="118" spans="2:26" x14ac:dyDescent="0.3">
      <c r="B118" s="411"/>
      <c r="C118" s="411"/>
      <c r="D118" s="411"/>
      <c r="E118" s="411"/>
      <c r="W118" s="6">
        <f t="shared" si="6"/>
        <v>82</v>
      </c>
      <c r="X118" s="472">
        <f t="shared" si="7"/>
        <v>83</v>
      </c>
      <c r="Y118" s="473">
        <f t="shared" si="5"/>
        <v>1</v>
      </c>
      <c r="Z118" s="474">
        <f t="shared" si="4"/>
        <v>0</v>
      </c>
    </row>
    <row r="119" spans="2:26" x14ac:dyDescent="0.3">
      <c r="B119" s="411"/>
      <c r="C119" s="411"/>
      <c r="D119" s="411"/>
      <c r="E119" s="411"/>
      <c r="W119" s="6">
        <f t="shared" si="6"/>
        <v>83</v>
      </c>
      <c r="X119" s="472">
        <f t="shared" si="7"/>
        <v>84</v>
      </c>
      <c r="Y119" s="473">
        <f t="shared" si="5"/>
        <v>1</v>
      </c>
      <c r="Z119" s="474">
        <f t="shared" si="4"/>
        <v>0</v>
      </c>
    </row>
    <row r="120" spans="2:26" x14ac:dyDescent="0.3">
      <c r="B120" s="411"/>
      <c r="C120" s="411"/>
      <c r="D120" s="411"/>
      <c r="E120" s="411"/>
      <c r="W120" s="6">
        <f t="shared" si="6"/>
        <v>84</v>
      </c>
      <c r="X120" s="472">
        <f t="shared" si="7"/>
        <v>85</v>
      </c>
      <c r="Y120" s="473">
        <f t="shared" si="5"/>
        <v>1</v>
      </c>
      <c r="Z120" s="474">
        <f t="shared" si="4"/>
        <v>0</v>
      </c>
    </row>
    <row r="121" spans="2:26" x14ac:dyDescent="0.3">
      <c r="B121" s="411"/>
      <c r="C121" s="411"/>
      <c r="D121" s="411"/>
      <c r="E121" s="411"/>
      <c r="W121" s="6">
        <f t="shared" si="6"/>
        <v>85</v>
      </c>
      <c r="X121" s="472">
        <f t="shared" si="7"/>
        <v>86</v>
      </c>
      <c r="Y121" s="473">
        <f t="shared" si="5"/>
        <v>1</v>
      </c>
      <c r="Z121" s="474">
        <f t="shared" si="4"/>
        <v>0</v>
      </c>
    </row>
    <row r="122" spans="2:26" x14ac:dyDescent="0.3">
      <c r="B122" s="411"/>
      <c r="C122" s="411"/>
      <c r="D122" s="411"/>
      <c r="E122" s="411"/>
      <c r="W122" s="6">
        <f t="shared" si="6"/>
        <v>86</v>
      </c>
      <c r="X122" s="472">
        <f t="shared" si="7"/>
        <v>87</v>
      </c>
      <c r="Y122" s="473">
        <f t="shared" si="5"/>
        <v>1</v>
      </c>
      <c r="Z122" s="474">
        <f t="shared" si="4"/>
        <v>0</v>
      </c>
    </row>
    <row r="123" spans="2:26" x14ac:dyDescent="0.3">
      <c r="B123" s="411"/>
      <c r="C123" s="411"/>
      <c r="D123" s="411"/>
      <c r="E123" s="411"/>
      <c r="W123" s="6">
        <f t="shared" si="6"/>
        <v>87</v>
      </c>
      <c r="X123" s="472">
        <f t="shared" si="7"/>
        <v>88</v>
      </c>
      <c r="Y123" s="473">
        <f t="shared" si="5"/>
        <v>1</v>
      </c>
      <c r="Z123" s="474">
        <f t="shared" si="4"/>
        <v>0</v>
      </c>
    </row>
    <row r="124" spans="2:26" x14ac:dyDescent="0.3">
      <c r="B124" s="411"/>
      <c r="C124" s="411"/>
      <c r="D124" s="411"/>
      <c r="E124" s="411"/>
      <c r="W124" s="6">
        <f t="shared" si="6"/>
        <v>88</v>
      </c>
      <c r="X124" s="472">
        <f t="shared" si="7"/>
        <v>89</v>
      </c>
      <c r="Y124" s="473">
        <f t="shared" si="5"/>
        <v>1</v>
      </c>
      <c r="Z124" s="474">
        <f t="shared" si="4"/>
        <v>0</v>
      </c>
    </row>
    <row r="125" spans="2:26" x14ac:dyDescent="0.3">
      <c r="B125" s="411"/>
      <c r="C125" s="411"/>
      <c r="D125" s="411"/>
      <c r="E125" s="411"/>
      <c r="W125" s="6">
        <f t="shared" si="6"/>
        <v>89</v>
      </c>
      <c r="X125" s="472">
        <f t="shared" si="7"/>
        <v>90</v>
      </c>
      <c r="Y125" s="473">
        <f t="shared" si="5"/>
        <v>1</v>
      </c>
      <c r="Z125" s="474">
        <f t="shared" si="4"/>
        <v>0</v>
      </c>
    </row>
    <row r="126" spans="2:26" x14ac:dyDescent="0.3">
      <c r="B126" s="411"/>
      <c r="C126" s="411"/>
      <c r="D126" s="411"/>
      <c r="E126" s="411"/>
      <c r="W126" s="6">
        <f t="shared" si="6"/>
        <v>90</v>
      </c>
      <c r="X126" s="472">
        <f t="shared" si="7"/>
        <v>91</v>
      </c>
      <c r="Y126" s="473">
        <f t="shared" si="5"/>
        <v>1</v>
      </c>
      <c r="Z126" s="474">
        <f t="shared" si="4"/>
        <v>0</v>
      </c>
    </row>
    <row r="127" spans="2:26" x14ac:dyDescent="0.3">
      <c r="B127" s="411"/>
      <c r="C127" s="411"/>
      <c r="D127" s="411"/>
      <c r="E127" s="411"/>
      <c r="W127" s="6">
        <f t="shared" si="6"/>
        <v>91</v>
      </c>
      <c r="X127" s="472">
        <f t="shared" si="7"/>
        <v>92</v>
      </c>
      <c r="Y127" s="473">
        <f t="shared" si="5"/>
        <v>1</v>
      </c>
      <c r="Z127" s="474">
        <f t="shared" si="4"/>
        <v>0</v>
      </c>
    </row>
    <row r="128" spans="2:26" x14ac:dyDescent="0.3">
      <c r="B128" s="411"/>
      <c r="C128" s="411"/>
      <c r="D128" s="411"/>
      <c r="E128" s="411"/>
      <c r="W128" s="6">
        <f t="shared" si="6"/>
        <v>92</v>
      </c>
      <c r="X128" s="472">
        <f t="shared" si="7"/>
        <v>93</v>
      </c>
      <c r="Y128" s="473">
        <f t="shared" si="5"/>
        <v>1</v>
      </c>
      <c r="Z128" s="474">
        <f t="shared" si="4"/>
        <v>0</v>
      </c>
    </row>
    <row r="129" spans="2:26" x14ac:dyDescent="0.3">
      <c r="B129" s="411"/>
      <c r="C129" s="411"/>
      <c r="D129" s="411"/>
      <c r="E129" s="411"/>
      <c r="W129" s="6">
        <f t="shared" si="6"/>
        <v>93</v>
      </c>
      <c r="X129" s="472">
        <f t="shared" si="7"/>
        <v>94</v>
      </c>
      <c r="Y129" s="473">
        <f t="shared" si="5"/>
        <v>1</v>
      </c>
      <c r="Z129" s="474">
        <f t="shared" si="4"/>
        <v>0</v>
      </c>
    </row>
    <row r="130" spans="2:26" x14ac:dyDescent="0.3">
      <c r="B130" s="411"/>
      <c r="C130" s="411"/>
      <c r="D130" s="411"/>
      <c r="E130" s="411"/>
      <c r="W130" s="6">
        <f t="shared" si="6"/>
        <v>94</v>
      </c>
      <c r="X130" s="472">
        <f t="shared" si="7"/>
        <v>95</v>
      </c>
      <c r="Y130" s="473">
        <f t="shared" si="5"/>
        <v>1</v>
      </c>
      <c r="Z130" s="474">
        <f t="shared" si="4"/>
        <v>0</v>
      </c>
    </row>
    <row r="131" spans="2:26" x14ac:dyDescent="0.3">
      <c r="B131" s="411"/>
      <c r="C131" s="411"/>
      <c r="D131" s="411"/>
      <c r="E131" s="411"/>
      <c r="W131" s="6">
        <f t="shared" si="6"/>
        <v>95</v>
      </c>
      <c r="X131" s="472">
        <f t="shared" si="7"/>
        <v>96</v>
      </c>
      <c r="Y131" s="473">
        <f t="shared" si="5"/>
        <v>1</v>
      </c>
      <c r="Z131" s="474">
        <f t="shared" si="4"/>
        <v>0</v>
      </c>
    </row>
    <row r="132" spans="2:26" x14ac:dyDescent="0.3">
      <c r="B132" s="411"/>
      <c r="C132" s="411"/>
      <c r="D132" s="411"/>
      <c r="E132" s="411"/>
      <c r="W132" s="6">
        <f t="shared" si="6"/>
        <v>96</v>
      </c>
      <c r="X132" s="472">
        <f t="shared" si="7"/>
        <v>97</v>
      </c>
      <c r="Y132" s="473">
        <f t="shared" si="5"/>
        <v>1</v>
      </c>
      <c r="Z132" s="474">
        <f t="shared" si="4"/>
        <v>0</v>
      </c>
    </row>
    <row r="133" spans="2:26" x14ac:dyDescent="0.3">
      <c r="B133" s="411"/>
      <c r="C133" s="411"/>
      <c r="D133" s="411"/>
      <c r="E133" s="411"/>
      <c r="W133" s="6">
        <f t="shared" si="6"/>
        <v>97</v>
      </c>
      <c r="X133" s="472">
        <f t="shared" si="7"/>
        <v>98</v>
      </c>
      <c r="Y133" s="473">
        <f t="shared" si="5"/>
        <v>1</v>
      </c>
      <c r="Z133" s="474">
        <f t="shared" si="4"/>
        <v>0</v>
      </c>
    </row>
    <row r="134" spans="2:26" x14ac:dyDescent="0.3">
      <c r="B134" s="411"/>
      <c r="C134" s="411"/>
      <c r="D134" s="411"/>
      <c r="E134" s="411"/>
      <c r="W134" s="6">
        <f t="shared" si="6"/>
        <v>98</v>
      </c>
      <c r="X134" s="472">
        <f t="shared" si="7"/>
        <v>99</v>
      </c>
      <c r="Y134" s="473">
        <f t="shared" si="5"/>
        <v>1</v>
      </c>
      <c r="Z134" s="474">
        <f t="shared" si="4"/>
        <v>0</v>
      </c>
    </row>
    <row r="135" spans="2:26" x14ac:dyDescent="0.3">
      <c r="B135" s="411"/>
      <c r="C135" s="411"/>
      <c r="D135" s="411"/>
      <c r="E135" s="411"/>
      <c r="W135" s="7">
        <f t="shared" si="6"/>
        <v>99</v>
      </c>
      <c r="X135" s="475">
        <f t="shared" si="7"/>
        <v>100</v>
      </c>
      <c r="Y135" s="476">
        <f t="shared" si="5"/>
        <v>1</v>
      </c>
      <c r="Z135" s="477">
        <f t="shared" si="4"/>
        <v>0</v>
      </c>
    </row>
    <row r="136" spans="2:26" x14ac:dyDescent="0.3">
      <c r="B136" s="411"/>
      <c r="C136" s="411"/>
      <c r="D136" s="411"/>
      <c r="E136" s="411"/>
    </row>
    <row r="137" spans="2:26" x14ac:dyDescent="0.3">
      <c r="C137" s="411"/>
      <c r="D137" s="411"/>
      <c r="E137" s="411"/>
    </row>
    <row r="138" spans="2:26" x14ac:dyDescent="0.3">
      <c r="C138" s="411"/>
      <c r="D138" s="411"/>
      <c r="E138" s="411"/>
    </row>
    <row r="139" spans="2:26" x14ac:dyDescent="0.3">
      <c r="C139" s="411"/>
      <c r="D139" s="411"/>
      <c r="E139" s="411"/>
    </row>
    <row r="140" spans="2:26" x14ac:dyDescent="0.3">
      <c r="C140" s="411"/>
      <c r="D140" s="411"/>
      <c r="E140" s="411"/>
    </row>
    <row r="141" spans="2:26" x14ac:dyDescent="0.3">
      <c r="D141" s="411"/>
      <c r="E141" s="411"/>
    </row>
    <row r="142" spans="2:26" x14ac:dyDescent="0.3">
      <c r="D142" s="411"/>
      <c r="E142" s="411"/>
    </row>
    <row r="143" spans="2:26" x14ac:dyDescent="0.3">
      <c r="D143" s="411"/>
      <c r="E143" s="411"/>
    </row>
  </sheetData>
  <sheetProtection algorithmName="SHA-512" hashValue="6pnzjuv5xw99DtBj1IjbLpswpty2dn407wAV6l8BZ4/rcF8xVKA+pfiJiBvKMJH9phqYqiKbhuBkap9C4U9CXQ==" saltValue="DqU4D5jrB+Y1uOwVsvphVw==" spinCount="100000" sheet="1" objects="1" scenarios="1"/>
  <protectedRanges>
    <protectedRange sqref="C4:C9 C11 C13:C16" name="Input Values"/>
  </protectedRanges>
  <mergeCells count="4">
    <mergeCell ref="W25:X25"/>
    <mergeCell ref="E33:F33"/>
    <mergeCell ref="E38:F38"/>
    <mergeCell ref="E42:F42"/>
  </mergeCells>
  <conditionalFormatting sqref="W36:W135">
    <cfRule type="expression" dxfId="12" priority="2">
      <formula>$A35&lt;endyr</formula>
    </cfRule>
  </conditionalFormatting>
  <conditionalFormatting sqref="C15">
    <cfRule type="expression" dxfId="11" priority="3">
      <formula>$C$6=$B$26</formula>
    </cfRule>
  </conditionalFormatting>
  <conditionalFormatting sqref="C7">
    <cfRule type="expression" dxfId="10" priority="4">
      <formula>(C6=B27)</formula>
    </cfRule>
  </conditionalFormatting>
  <conditionalFormatting sqref="C13">
    <cfRule type="expression" dxfId="9" priority="5">
      <formula>C6=B27</formula>
    </cfRule>
  </conditionalFormatting>
  <conditionalFormatting sqref="C8">
    <cfRule type="expression" dxfId="8" priority="6">
      <formula>C6=B26</formula>
    </cfRule>
  </conditionalFormatting>
  <conditionalFormatting sqref="C14">
    <cfRule type="expression" dxfId="7" priority="7">
      <formula>C6=B26</formula>
    </cfRule>
  </conditionalFormatting>
  <conditionalFormatting sqref="C9">
    <cfRule type="expression" dxfId="6" priority="8">
      <formula>OR(C6=B26,C6=B27)</formula>
    </cfRule>
  </conditionalFormatting>
  <conditionalFormatting sqref="C10">
    <cfRule type="expression" dxfId="5" priority="9">
      <formula>OR(C8=B28,C8=B29)</formula>
    </cfRule>
  </conditionalFormatting>
  <conditionalFormatting sqref="C16">
    <cfRule type="expression" dxfId="4" priority="10">
      <formula>C6=B26</formula>
    </cfRule>
  </conditionalFormatting>
  <conditionalFormatting sqref="C11">
    <cfRule type="expression" dxfId="3" priority="1">
      <formula>$C$6=$B$27</formula>
    </cfRule>
  </conditionalFormatting>
  <dataValidations count="5">
    <dataValidation allowBlank="1" sqref="C19:C20" xr:uid="{00000000-0002-0000-0400-000000000000}"/>
    <dataValidation type="list" allowBlank="1" showInputMessage="1" showErrorMessage="1" sqref="C13" xr:uid="{00000000-0002-0000-0400-000001000000}">
      <formula1>"Yes, No, NA "</formula1>
    </dataValidation>
    <dataValidation type="list" allowBlank="1" showInputMessage="1" showErrorMessage="1" sqref="C11" xr:uid="{00000000-0002-0000-0400-000002000000}">
      <formula1>$B$44:$B$47</formula1>
    </dataValidation>
    <dataValidation type="list" allowBlank="1" showInputMessage="1" showErrorMessage="1" sqref="C6" xr:uid="{00000000-0002-0000-0400-000003000000}">
      <formula1>$B$26:$B$28</formula1>
    </dataValidation>
    <dataValidation type="list" allowBlank="1" showInputMessage="1" showErrorMessage="1" sqref="C14:C16" xr:uid="{00000000-0002-0000-0400-000004000000}">
      <formula1>$B$40:$B$41</formula1>
    </dataValidation>
  </dataValidations>
  <pageMargins left="0.7" right="0.7" top="0.75" bottom="0.75" header="0.3" footer="0.3"/>
  <pageSetup orientation="portrait" verticalDpi="52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AO44"/>
  <sheetViews>
    <sheetView workbookViewId="0">
      <selection activeCell="C9" sqref="C9"/>
    </sheetView>
  </sheetViews>
  <sheetFormatPr defaultRowHeight="14.4" x14ac:dyDescent="0.3"/>
  <cols>
    <col min="1" max="1" width="9.109375" style="529"/>
    <col min="2" max="2" width="38" customWidth="1"/>
    <col min="3" max="3" width="16.33203125" customWidth="1"/>
    <col min="4" max="4" width="37.44140625" customWidth="1"/>
    <col min="5" max="6" width="9.109375" style="529"/>
    <col min="7" max="7" width="34.109375" customWidth="1"/>
    <col min="9" max="9" width="28.88671875" customWidth="1"/>
    <col min="10" max="41" width="9.109375" style="529"/>
  </cols>
  <sheetData>
    <row r="1" spans="2:9" s="529" customFormat="1" x14ac:dyDescent="0.3"/>
    <row r="2" spans="2:9" ht="18" x14ac:dyDescent="0.35">
      <c r="B2" s="1" t="s">
        <v>19</v>
      </c>
      <c r="G2" s="529"/>
      <c r="H2" s="529"/>
      <c r="I2" s="529"/>
    </row>
    <row r="3" spans="2:9" s="529" customFormat="1" x14ac:dyDescent="0.3">
      <c r="B3" s="530" t="s">
        <v>206</v>
      </c>
      <c r="C3" s="531">
        <v>42705</v>
      </c>
    </row>
    <row r="4" spans="2:9" s="529" customFormat="1" x14ac:dyDescent="0.3"/>
    <row r="5" spans="2:9" ht="18.600000000000001" thickBot="1" x14ac:dyDescent="0.4">
      <c r="B5" s="265" t="s">
        <v>137</v>
      </c>
      <c r="C5" s="264"/>
      <c r="D5" s="90"/>
      <c r="G5" s="262" t="s">
        <v>131</v>
      </c>
      <c r="H5" s="90"/>
      <c r="I5" s="90"/>
    </row>
    <row r="6" spans="2:9" ht="19.8" x14ac:dyDescent="0.5">
      <c r="B6" s="40" t="s">
        <v>58</v>
      </c>
      <c r="C6" s="141"/>
      <c r="D6" s="149">
        <f>incidentyr+projyrs</f>
        <v>0</v>
      </c>
      <c r="G6" s="547" t="s">
        <v>133</v>
      </c>
      <c r="H6" s="529"/>
      <c r="I6" s="529"/>
    </row>
    <row r="7" spans="2:9" ht="19.2" x14ac:dyDescent="0.5">
      <c r="B7" s="41" t="s">
        <v>57</v>
      </c>
      <c r="C7" s="142"/>
      <c r="D7" s="44"/>
      <c r="G7" s="74" t="s">
        <v>26</v>
      </c>
      <c r="H7" s="258"/>
      <c r="I7" s="75"/>
    </row>
    <row r="8" spans="2:9" ht="19.2" x14ac:dyDescent="0.5">
      <c r="B8" s="41" t="s">
        <v>165</v>
      </c>
      <c r="C8" s="142"/>
      <c r="D8" s="45" t="str">
        <f>"years to "&amp; endyr</f>
        <v>years to 0</v>
      </c>
      <c r="G8" s="76" t="s">
        <v>27</v>
      </c>
      <c r="H8" s="259">
        <f>SUM(Services!C8:C59)</f>
        <v>0</v>
      </c>
      <c r="I8" s="77" t="s">
        <v>28</v>
      </c>
    </row>
    <row r="9" spans="2:9" ht="19.2" x14ac:dyDescent="0.5">
      <c r="B9" s="146" t="s">
        <v>65</v>
      </c>
      <c r="C9" s="142" t="s">
        <v>67</v>
      </c>
      <c r="D9" s="45"/>
      <c r="G9" s="76" t="s">
        <v>145</v>
      </c>
      <c r="H9" s="259">
        <f>Services!F60</f>
        <v>0</v>
      </c>
      <c r="I9" s="77" t="s">
        <v>3</v>
      </c>
    </row>
    <row r="10" spans="2:9" ht="19.2" x14ac:dyDescent="0.5">
      <c r="B10" s="146" t="s">
        <v>10</v>
      </c>
      <c r="C10" s="143">
        <f>VLOOKUP(C9,'Parameter Sets'!I16:N18,3,0)</f>
        <v>0.6</v>
      </c>
      <c r="D10" s="44" t="s">
        <v>31</v>
      </c>
      <c r="G10" s="86" t="s">
        <v>138</v>
      </c>
      <c r="H10" s="260">
        <f>H8+H9</f>
        <v>0</v>
      </c>
      <c r="I10" s="85"/>
    </row>
    <row r="11" spans="2:9" x14ac:dyDescent="0.3">
      <c r="B11" s="42" t="s">
        <v>12</v>
      </c>
      <c r="C11" s="148">
        <f>C10/2</f>
        <v>0.3</v>
      </c>
      <c r="D11" s="46" t="s">
        <v>1</v>
      </c>
      <c r="G11" s="529"/>
      <c r="H11" s="529"/>
      <c r="I11" s="529"/>
    </row>
    <row r="12" spans="2:9" ht="19.2" x14ac:dyDescent="0.5">
      <c r="B12" s="146" t="s">
        <v>11</v>
      </c>
      <c r="C12" s="143">
        <f>VLOOKUP(C9,'Parameter Sets'!I16:N18,2,0)</f>
        <v>0.3</v>
      </c>
      <c r="D12" s="44" t="s">
        <v>0</v>
      </c>
      <c r="G12" s="529"/>
      <c r="H12" s="529"/>
      <c r="I12" s="529"/>
    </row>
    <row r="13" spans="2:9" ht="18" x14ac:dyDescent="0.35">
      <c r="B13" s="42" t="s">
        <v>13</v>
      </c>
      <c r="C13" s="148">
        <f>C12/2</f>
        <v>0.15</v>
      </c>
      <c r="D13" s="46" t="s">
        <v>1</v>
      </c>
      <c r="G13" s="547" t="s">
        <v>134</v>
      </c>
      <c r="H13" s="529"/>
      <c r="I13" s="529"/>
    </row>
    <row r="14" spans="2:9" x14ac:dyDescent="0.3">
      <c r="B14" s="43"/>
      <c r="C14" s="144"/>
      <c r="D14" s="44"/>
      <c r="G14" s="78" t="s">
        <v>26</v>
      </c>
      <c r="H14" s="79"/>
      <c r="I14" s="80"/>
    </row>
    <row r="15" spans="2:9" ht="19.2" x14ac:dyDescent="0.5">
      <c r="B15" s="146" t="s">
        <v>14</v>
      </c>
      <c r="C15" s="143">
        <f>VLOOKUP(C9,'Parameter Sets'!I16:N18,4,0)</f>
        <v>0.2</v>
      </c>
      <c r="D15" s="44" t="s">
        <v>4</v>
      </c>
      <c r="G15" s="81" t="s">
        <v>30</v>
      </c>
      <c r="H15" s="254">
        <f>SUM(Services!K60)</f>
        <v>0</v>
      </c>
      <c r="I15" s="82" t="s">
        <v>28</v>
      </c>
    </row>
    <row r="16" spans="2:9" ht="19.2" x14ac:dyDescent="0.5">
      <c r="B16" s="146" t="s">
        <v>36</v>
      </c>
      <c r="C16" s="143">
        <f>VLOOKUP(C9,'Parameter Sets'!I16:N18,5,0)</f>
        <v>0.7</v>
      </c>
      <c r="D16" s="44" t="s">
        <v>4</v>
      </c>
      <c r="G16" s="83" t="s">
        <v>32</v>
      </c>
      <c r="H16" s="254">
        <f>Services!$H$60</f>
        <v>0</v>
      </c>
      <c r="I16" s="82" t="s">
        <v>28</v>
      </c>
    </row>
    <row r="17" spans="2:9" ht="19.8" thickBot="1" x14ac:dyDescent="0.55000000000000004">
      <c r="B17" s="147" t="s">
        <v>9</v>
      </c>
      <c r="C17" s="145">
        <f>VLOOKUP(C9,'Parameter Sets'!I16:N18,6,0)</f>
        <v>0.7</v>
      </c>
      <c r="D17" s="47" t="s">
        <v>4</v>
      </c>
      <c r="G17" s="83" t="s">
        <v>33</v>
      </c>
      <c r="H17" s="254">
        <f>Services!$I$60</f>
        <v>0</v>
      </c>
      <c r="I17" s="82" t="s">
        <v>28</v>
      </c>
    </row>
    <row r="18" spans="2:9" x14ac:dyDescent="0.3">
      <c r="B18" s="529"/>
      <c r="C18" s="529"/>
      <c r="D18" s="529"/>
      <c r="G18" s="83" t="s">
        <v>34</v>
      </c>
      <c r="H18" s="254">
        <f>Services!$J$60</f>
        <v>0</v>
      </c>
      <c r="I18" s="82" t="s">
        <v>28</v>
      </c>
    </row>
    <row r="19" spans="2:9" ht="18" x14ac:dyDescent="0.35">
      <c r="B19" s="532"/>
      <c r="C19" s="529"/>
      <c r="D19" s="529"/>
      <c r="G19" s="84" t="s">
        <v>146</v>
      </c>
      <c r="H19" s="254">
        <f>Services!N60</f>
        <v>0</v>
      </c>
      <c r="I19" s="82" t="s">
        <v>3</v>
      </c>
    </row>
    <row r="20" spans="2:9" x14ac:dyDescent="0.3">
      <c r="B20" s="533"/>
      <c r="C20" s="534"/>
      <c r="D20" s="535"/>
      <c r="E20" s="535"/>
      <c r="G20" s="87" t="s">
        <v>35</v>
      </c>
      <c r="H20" s="255">
        <f>ROUND(H15+H19,0)</f>
        <v>0</v>
      </c>
      <c r="I20" s="88" t="s">
        <v>29</v>
      </c>
    </row>
    <row r="21" spans="2:9" x14ac:dyDescent="0.3">
      <c r="B21" s="536"/>
      <c r="C21" s="534"/>
      <c r="D21" s="529"/>
      <c r="E21" s="535"/>
      <c r="G21" s="529"/>
      <c r="H21" s="529"/>
      <c r="I21" s="529"/>
    </row>
    <row r="22" spans="2:9" x14ac:dyDescent="0.3">
      <c r="B22" s="536"/>
      <c r="C22" s="534"/>
      <c r="D22" s="535"/>
      <c r="E22" s="535"/>
      <c r="G22" s="529"/>
      <c r="H22" s="529"/>
      <c r="I22" s="529"/>
    </row>
    <row r="23" spans="2:9" ht="18" x14ac:dyDescent="0.35">
      <c r="B23" s="537"/>
      <c r="C23" s="538"/>
      <c r="D23" s="539"/>
      <c r="E23" s="535"/>
      <c r="G23" s="548" t="s">
        <v>144</v>
      </c>
      <c r="H23" s="549"/>
      <c r="I23" s="542"/>
    </row>
    <row r="24" spans="2:9" x14ac:dyDescent="0.3">
      <c r="B24" s="540"/>
      <c r="C24" s="541"/>
      <c r="D24" s="541"/>
      <c r="E24" s="535"/>
      <c r="G24" s="50"/>
      <c r="H24" s="51"/>
      <c r="I24" s="52"/>
    </row>
    <row r="25" spans="2:9" ht="15.6" x14ac:dyDescent="0.3">
      <c r="B25" s="542"/>
      <c r="C25" s="543"/>
      <c r="D25" s="541"/>
      <c r="E25" s="535"/>
      <c r="G25" s="53" t="s">
        <v>139</v>
      </c>
      <c r="H25" s="256">
        <f>H20-H10</f>
        <v>0</v>
      </c>
      <c r="I25" s="55"/>
    </row>
    <row r="26" spans="2:9" ht="15.6" x14ac:dyDescent="0.3">
      <c r="B26" s="542"/>
      <c r="C26" s="543"/>
      <c r="D26" s="541"/>
      <c r="E26" s="535"/>
      <c r="G26" s="266" t="s">
        <v>132</v>
      </c>
      <c r="H26" s="257">
        <f>'Mit-SumHabPrt'!F11+'Mit-SumHabRst'!D7</f>
        <v>0</v>
      </c>
      <c r="I26" s="56" t="s">
        <v>121</v>
      </c>
    </row>
    <row r="27" spans="2:9" x14ac:dyDescent="0.3">
      <c r="B27" s="542"/>
      <c r="C27" s="544"/>
      <c r="D27" s="541"/>
      <c r="E27" s="535"/>
      <c r="G27" s="57"/>
      <c r="H27" s="58"/>
      <c r="I27" s="54"/>
    </row>
    <row r="28" spans="2:9" s="529" customFormat="1" ht="18" x14ac:dyDescent="0.35">
      <c r="B28" s="545"/>
      <c r="C28" s="535"/>
      <c r="D28" s="535"/>
      <c r="E28" s="535"/>
    </row>
    <row r="29" spans="2:9" s="529" customFormat="1" x14ac:dyDescent="0.3">
      <c r="B29" s="539"/>
      <c r="C29" s="535"/>
      <c r="D29" s="535"/>
      <c r="E29" s="535"/>
    </row>
    <row r="30" spans="2:9" s="529" customFormat="1" x14ac:dyDescent="0.3">
      <c r="B30" s="546"/>
      <c r="C30" s="534"/>
      <c r="D30" s="535"/>
      <c r="E30" s="535"/>
    </row>
    <row r="31" spans="2:9" s="529" customFormat="1" x14ac:dyDescent="0.3">
      <c r="B31" s="550"/>
      <c r="C31" s="534"/>
      <c r="D31" s="535"/>
      <c r="E31" s="535"/>
    </row>
    <row r="32" spans="2:9" s="529" customFormat="1" x14ac:dyDescent="0.3">
      <c r="B32" s="550"/>
      <c r="C32" s="534"/>
      <c r="D32" s="535"/>
      <c r="E32" s="535"/>
    </row>
    <row r="33" spans="2:5" s="529" customFormat="1" x14ac:dyDescent="0.3">
      <c r="B33" s="550"/>
      <c r="C33" s="534"/>
      <c r="D33" s="535"/>
      <c r="E33" s="535"/>
    </row>
    <row r="34" spans="2:5" s="529" customFormat="1" x14ac:dyDescent="0.3">
      <c r="B34" s="536"/>
      <c r="C34" s="534"/>
      <c r="D34" s="535"/>
      <c r="E34" s="535"/>
    </row>
    <row r="35" spans="2:5" s="529" customFormat="1" x14ac:dyDescent="0.3">
      <c r="B35" s="537"/>
      <c r="C35" s="551"/>
      <c r="D35" s="552"/>
      <c r="E35" s="535"/>
    </row>
    <row r="36" spans="2:5" s="529" customFormat="1" x14ac:dyDescent="0.3">
      <c r="B36" s="540"/>
      <c r="C36" s="535"/>
      <c r="D36" s="535"/>
      <c r="E36" s="535"/>
    </row>
    <row r="37" spans="2:5" s="529" customFormat="1" x14ac:dyDescent="0.3">
      <c r="B37" s="542"/>
      <c r="C37" s="549"/>
      <c r="D37" s="542"/>
      <c r="E37" s="535"/>
    </row>
    <row r="38" spans="2:5" s="529" customFormat="1" x14ac:dyDescent="0.3">
      <c r="B38" s="542"/>
      <c r="C38" s="549"/>
      <c r="D38" s="542"/>
      <c r="E38" s="535"/>
    </row>
    <row r="39" spans="2:5" s="529" customFormat="1" x14ac:dyDescent="0.3">
      <c r="B39" s="542"/>
      <c r="C39" s="549"/>
      <c r="D39" s="542"/>
      <c r="E39" s="535"/>
    </row>
    <row r="40" spans="2:5" s="529" customFormat="1" ht="18" x14ac:dyDescent="0.35">
      <c r="B40" s="548"/>
      <c r="C40" s="549"/>
      <c r="D40" s="542"/>
      <c r="E40" s="535"/>
    </row>
    <row r="41" spans="2:5" s="529" customFormat="1" x14ac:dyDescent="0.3">
      <c r="B41" s="535"/>
      <c r="C41" s="535"/>
      <c r="D41" s="535"/>
      <c r="E41" s="535"/>
    </row>
    <row r="42" spans="2:5" s="529" customFormat="1" ht="15.6" x14ac:dyDescent="0.3">
      <c r="B42" s="553"/>
      <c r="C42" s="554"/>
      <c r="D42" s="555"/>
      <c r="E42" s="535"/>
    </row>
    <row r="43" spans="2:5" s="529" customFormat="1" ht="15.6" x14ac:dyDescent="0.3">
      <c r="B43" s="556"/>
      <c r="C43" s="557"/>
      <c r="D43" s="461"/>
      <c r="E43" s="535"/>
    </row>
    <row r="44" spans="2:5" s="529" customFormat="1" x14ac:dyDescent="0.3">
      <c r="B44" s="535"/>
      <c r="C44" s="535"/>
      <c r="D44" s="535"/>
      <c r="E44" s="535"/>
    </row>
  </sheetData>
  <sheetProtection algorithmName="SHA-512" hashValue="f9AhCFPJFf4wqBOmXiBibMqgc8l0vmZFxdwSmu3wI5TWnYdP/ea+npxOa4z3MixQoa84X8xdI5HdVFQD2KDmGw==" saltValue="3nKGfshrs4ASo2sc+IdUPg==" spinCount="100000" sheet="1" objects="1" scenarios="1"/>
  <protectedRanges>
    <protectedRange sqref="C6:C9" name="ImpactsInputs"/>
  </protectedRanges>
  <conditionalFormatting sqref="C42">
    <cfRule type="expression" dxfId="2" priority="4">
      <formula>$C$42&lt;0</formula>
    </cfRule>
  </conditionalFormatting>
  <conditionalFormatting sqref="H25">
    <cfRule type="expression" dxfId="1" priority="2">
      <formula>$H$25&lt;0</formula>
    </cfRule>
  </conditionalFormatting>
  <conditionalFormatting sqref="H26">
    <cfRule type="expression" dxfId="0" priority="1">
      <formula>$H26&lt;42</formula>
    </cfRule>
  </conditionalFormatting>
  <dataValidations count="2">
    <dataValidation allowBlank="1" showInputMessage="1" showErrorMessage="1" prompt="This value is from a consistent set on the Parameter Sets page. _x000a__x000a_You may change it but you will be responsible for ensuring consistency of the life history parameters." sqref="C12 C15:C17" xr:uid="{00000000-0002-0000-0500-000000000000}"/>
    <dataValidation errorStyle="warning" allowBlank="1" showInputMessage="1" showErrorMessage="1" errorTitle="Are you sure?" error="Demographic consistency is up to you!" promptTitle="Consistency Check" prompt="This value is from a consistent set on the Parameter Sets page. _x000a__x000a_You may change it but you will be responsible for ensuring consistency of the life history parameters." sqref="C10" xr:uid="{00000000-0002-0000-0500-000001000000}"/>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'Parameter Sets'!$I$16:$I$18</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0" tint="-0.14999847407452621"/>
  </sheetPr>
  <dimension ref="A1:AA121"/>
  <sheetViews>
    <sheetView zoomScaleNormal="100" workbookViewId="0">
      <selection activeCell="P17" sqref="P17"/>
    </sheetView>
  </sheetViews>
  <sheetFormatPr defaultRowHeight="14.4" x14ac:dyDescent="0.3"/>
  <cols>
    <col min="1" max="1" width="19.5546875" style="530" customWidth="1"/>
    <col min="2" max="2" width="9.109375" style="529"/>
    <col min="4" max="4" width="11.6640625" style="13" customWidth="1"/>
    <col min="5" max="5" width="11.6640625" customWidth="1"/>
    <col min="6" max="6" width="13.6640625" customWidth="1"/>
    <col min="7" max="7" width="5.6640625" style="529" customWidth="1"/>
    <col min="8" max="8" width="13.6640625" style="91" customWidth="1"/>
    <col min="9" max="9" width="14.88671875" style="11" customWidth="1"/>
    <col min="10" max="10" width="12" customWidth="1"/>
    <col min="11" max="11" width="10.6640625" customWidth="1"/>
    <col min="12" max="13" width="16" customWidth="1"/>
    <col min="14" max="14" width="14.109375" customWidth="1"/>
    <col min="15" max="15" width="14.44140625" style="529" customWidth="1"/>
    <col min="16" max="16" width="14.109375" style="529" customWidth="1"/>
    <col min="17" max="17" width="32.88671875" style="529" customWidth="1"/>
    <col min="18" max="27" width="9.109375" style="529"/>
  </cols>
  <sheetData>
    <row r="1" spans="1:17" s="529" customFormat="1" x14ac:dyDescent="0.3">
      <c r="A1" s="530"/>
      <c r="D1" s="558"/>
      <c r="I1" s="559"/>
      <c r="Q1" s="535"/>
    </row>
    <row r="2" spans="1:17" s="529" customFormat="1" x14ac:dyDescent="0.3">
      <c r="A2" s="560" t="s">
        <v>159</v>
      </c>
      <c r="D2" s="558"/>
      <c r="I2" s="559"/>
      <c r="Q2" s="561"/>
    </row>
    <row r="3" spans="1:17" s="529" customFormat="1" x14ac:dyDescent="0.3">
      <c r="A3" s="530"/>
      <c r="I3" s="559"/>
      <c r="Q3" s="561"/>
    </row>
    <row r="4" spans="1:17" s="529" customFormat="1" x14ac:dyDescent="0.3">
      <c r="A4" s="530"/>
      <c r="D4" s="558"/>
      <c r="I4" s="559"/>
      <c r="Q4" s="561"/>
    </row>
    <row r="5" spans="1:17" ht="15" thickBot="1" x14ac:dyDescent="0.35">
      <c r="C5" s="234"/>
      <c r="D5" s="234" t="s">
        <v>37</v>
      </c>
      <c r="E5" s="234"/>
      <c r="F5" s="234"/>
      <c r="G5" s="567"/>
      <c r="H5" s="567"/>
      <c r="I5" s="567"/>
      <c r="J5" s="576"/>
      <c r="K5" s="59"/>
      <c r="L5" s="59" t="s">
        <v>64</v>
      </c>
      <c r="M5" s="59"/>
      <c r="N5" s="59"/>
      <c r="Q5" s="561"/>
    </row>
    <row r="6" spans="1:17" ht="26.25" customHeight="1" x14ac:dyDescent="0.3">
      <c r="B6" s="562"/>
      <c r="C6" s="648" t="s">
        <v>135</v>
      </c>
      <c r="D6" s="648"/>
      <c r="E6" s="648"/>
      <c r="F6" s="649"/>
      <c r="G6" s="568"/>
      <c r="H6" s="645" t="s">
        <v>205</v>
      </c>
      <c r="I6" s="646"/>
      <c r="J6" s="647"/>
      <c r="K6" s="642" t="s">
        <v>136</v>
      </c>
      <c r="L6" s="643"/>
      <c r="M6" s="643"/>
      <c r="N6" s="644"/>
      <c r="O6" s="573"/>
      <c r="P6" s="573"/>
      <c r="Q6" s="561"/>
    </row>
    <row r="7" spans="1:17" ht="43.2" x14ac:dyDescent="0.3">
      <c r="A7" s="530" t="s">
        <v>18</v>
      </c>
      <c r="B7" s="563"/>
      <c r="C7" s="70" t="s">
        <v>15</v>
      </c>
      <c r="D7" s="68" t="s">
        <v>106</v>
      </c>
      <c r="E7" s="68" t="s">
        <v>107</v>
      </c>
      <c r="F7" s="244" t="s">
        <v>2</v>
      </c>
      <c r="G7" s="569"/>
      <c r="H7" s="241" t="s">
        <v>61</v>
      </c>
      <c r="I7" s="242" t="s">
        <v>130</v>
      </c>
      <c r="J7" s="243" t="s">
        <v>62</v>
      </c>
      <c r="K7" s="67" t="s">
        <v>5</v>
      </c>
      <c r="L7" s="60" t="s">
        <v>108</v>
      </c>
      <c r="M7" s="61" t="s">
        <v>109</v>
      </c>
      <c r="N7" s="61" t="s">
        <v>6</v>
      </c>
    </row>
    <row r="8" spans="1:17" x14ac:dyDescent="0.3">
      <c r="A8" s="530">
        <v>1</v>
      </c>
      <c r="B8" s="564">
        <f>incidentyr</f>
        <v>0</v>
      </c>
      <c r="C8" s="71">
        <f t="shared" ref="C8:C39" si="0">IF(B8&gt;=endyr,0,injpop)</f>
        <v>0</v>
      </c>
      <c r="D8" s="69">
        <f>C8*firstgen</f>
        <v>0</v>
      </c>
      <c r="E8" s="69">
        <f>C8*secondgen</f>
        <v>0</v>
      </c>
      <c r="F8" s="245">
        <f>E8+D8</f>
        <v>0</v>
      </c>
      <c r="G8" s="570"/>
      <c r="H8" s="246">
        <f>fbreedrate*IF(AND(B8&gt;='Mit-SumHabPrt'!$C$4, B8&lt;'Mit-SumHabPrt'!$C$5),'Mit-SumHabPrt'!$C$19,0)</f>
        <v>0</v>
      </c>
      <c r="I8" s="247">
        <f>IF(AND(B8&gt;='Mit-WinHabPrt'!$C$4,B8&lt;'Mit-WinHabPrt'!$C$5),'Mit-WinHabPrt'!$C$20/('Mit-WinHabPrt'!$C$5-'Mit-WinHabPrt'!$C$4),0)</f>
        <v>0</v>
      </c>
      <c r="J8" s="248">
        <f>fbreedrate*IF(AND(B8&gt;='Mit-SumHabRst'!$C$4,B8&lt;'Mit-SumHabRst'!$C$5),VLOOKUP(B8,'Mit-SumHabRst'!$W$36:$Z$136,4),0)</f>
        <v>0</v>
      </c>
      <c r="K8" s="240">
        <f t="shared" ref="K8:K39" si="1">SUM(H8,I8,J8)</f>
        <v>0</v>
      </c>
      <c r="L8" s="62">
        <f t="shared" ref="L8:L39" si="2">K8*firstgenfull</f>
        <v>0</v>
      </c>
      <c r="M8" s="63">
        <f t="shared" ref="M8:M39" si="3">K8*secondgenfull</f>
        <v>0</v>
      </c>
      <c r="N8" s="237">
        <f>M8+L8</f>
        <v>0</v>
      </c>
    </row>
    <row r="9" spans="1:17" x14ac:dyDescent="0.3">
      <c r="A9" s="530">
        <v>2</v>
      </c>
      <c r="B9" s="564">
        <f>B8+1</f>
        <v>1</v>
      </c>
      <c r="C9" s="71">
        <f t="shared" si="0"/>
        <v>0</v>
      </c>
      <c r="D9" s="69">
        <f t="shared" ref="D9:D39" si="4">C9*firstgen</f>
        <v>0</v>
      </c>
      <c r="E9" s="69">
        <f t="shared" ref="E9:E39" si="5">C9*secondgen</f>
        <v>0</v>
      </c>
      <c r="F9" s="245">
        <f t="shared" ref="F9:F59" si="6">E9+D9</f>
        <v>0</v>
      </c>
      <c r="G9" s="570"/>
      <c r="H9" s="246">
        <f>fbreedrate*IF(AND(B9&gt;='Mit-SumHabPrt'!$C$4, B9&lt;'Mit-SumHabPrt'!$C$5),'Mit-SumHabPrt'!$C$19,0)</f>
        <v>0</v>
      </c>
      <c r="I9" s="247">
        <f>IF(AND(B9&gt;='Mit-WinHabPrt'!$C$4,B9&lt;'Mit-WinHabPrt'!$C$5),'Mit-WinHabPrt'!$C$20/('Mit-WinHabPrt'!$C$5-'Mit-WinHabPrt'!$C$4),0)</f>
        <v>0</v>
      </c>
      <c r="J9" s="248">
        <f>fbreedrate*IF(AND(B9&gt;='Mit-SumHabRst'!$C$4,B9&lt;'Mit-SumHabRst'!$C$5),VLOOKUP(B9,'Mit-SumHabRst'!$W$37:$Z$136,4),0)</f>
        <v>0</v>
      </c>
      <c r="K9" s="240">
        <f t="shared" si="1"/>
        <v>0</v>
      </c>
      <c r="L9" s="64">
        <f t="shared" si="2"/>
        <v>0</v>
      </c>
      <c r="M9" s="63">
        <f t="shared" si="3"/>
        <v>0</v>
      </c>
      <c r="N9" s="238">
        <f t="shared" ref="N9:N59" si="7">M9+L9</f>
        <v>0</v>
      </c>
    </row>
    <row r="10" spans="1:17" x14ac:dyDescent="0.3">
      <c r="A10" s="530">
        <v>3</v>
      </c>
      <c r="B10" s="564">
        <f t="shared" ref="B10:B32" si="8">B9+1</f>
        <v>2</v>
      </c>
      <c r="C10" s="71">
        <f t="shared" si="0"/>
        <v>0</v>
      </c>
      <c r="D10" s="69">
        <f t="shared" si="4"/>
        <v>0</v>
      </c>
      <c r="E10" s="69">
        <f t="shared" si="5"/>
        <v>0</v>
      </c>
      <c r="F10" s="245">
        <f t="shared" si="6"/>
        <v>0</v>
      </c>
      <c r="G10" s="570"/>
      <c r="H10" s="246">
        <f>fbreedrate*IF(AND(B10&gt;='Mit-SumHabPrt'!$C$4, B10&lt;'Mit-SumHabPrt'!$C$5),'Mit-SumHabPrt'!$C$19,0)</f>
        <v>0</v>
      </c>
      <c r="I10" s="247">
        <f>IF(AND(B10&gt;='Mit-WinHabPrt'!$C$4,B10&lt;'Mit-WinHabPrt'!$C$5),'Mit-WinHabPrt'!$C$20/('Mit-WinHabPrt'!$C$5-'Mit-WinHabPrt'!$C$4),0)</f>
        <v>0</v>
      </c>
      <c r="J10" s="248">
        <f>fbreedrate*IF(AND(B10&gt;='Mit-SumHabRst'!$C$4,B10&lt;'Mit-SumHabRst'!$C$5),VLOOKUP(B10,'Mit-SumHabRst'!$W$37:$Z$136,4),0)</f>
        <v>0</v>
      </c>
      <c r="K10" s="240">
        <f t="shared" si="1"/>
        <v>0</v>
      </c>
      <c r="L10" s="64">
        <f t="shared" si="2"/>
        <v>0</v>
      </c>
      <c r="M10" s="63">
        <f t="shared" si="3"/>
        <v>0</v>
      </c>
      <c r="N10" s="238">
        <f t="shared" si="7"/>
        <v>0</v>
      </c>
    </row>
    <row r="11" spans="1:17" x14ac:dyDescent="0.3">
      <c r="A11" s="530">
        <v>4</v>
      </c>
      <c r="B11" s="564">
        <f t="shared" si="8"/>
        <v>3</v>
      </c>
      <c r="C11" s="71">
        <f t="shared" si="0"/>
        <v>0</v>
      </c>
      <c r="D11" s="69">
        <f t="shared" si="4"/>
        <v>0</v>
      </c>
      <c r="E11" s="69">
        <f t="shared" si="5"/>
        <v>0</v>
      </c>
      <c r="F11" s="245">
        <f t="shared" si="6"/>
        <v>0</v>
      </c>
      <c r="G11" s="570"/>
      <c r="H11" s="246">
        <f>fbreedrate*IF(AND(B11&gt;='Mit-SumHabPrt'!$C$4, B11&lt;'Mit-SumHabPrt'!$C$5),'Mit-SumHabPrt'!$C$19,0)</f>
        <v>0</v>
      </c>
      <c r="I11" s="247">
        <f>IF(AND(B11&gt;='Mit-WinHabPrt'!$C$4,B11&lt;'Mit-WinHabPrt'!$C$5),'Mit-WinHabPrt'!$C$20/('Mit-WinHabPrt'!$C$5-'Mit-WinHabPrt'!$C$4),0)</f>
        <v>0</v>
      </c>
      <c r="J11" s="248">
        <f>fbreedrate*IF(AND(B11&gt;='Mit-SumHabRst'!$C$4,B11&lt;'Mit-SumHabRst'!$C$5),VLOOKUP(B11,'Mit-SumHabRst'!$W$37:$Z$136,4),0)</f>
        <v>0</v>
      </c>
      <c r="K11" s="240">
        <f t="shared" si="1"/>
        <v>0</v>
      </c>
      <c r="L11" s="64">
        <f t="shared" si="2"/>
        <v>0</v>
      </c>
      <c r="M11" s="63">
        <f t="shared" si="3"/>
        <v>0</v>
      </c>
      <c r="N11" s="238">
        <f t="shared" si="7"/>
        <v>0</v>
      </c>
    </row>
    <row r="12" spans="1:17" x14ac:dyDescent="0.3">
      <c r="A12" s="530">
        <v>5</v>
      </c>
      <c r="B12" s="564">
        <f t="shared" si="8"/>
        <v>4</v>
      </c>
      <c r="C12" s="71">
        <f t="shared" si="0"/>
        <v>0</v>
      </c>
      <c r="D12" s="69">
        <f t="shared" si="4"/>
        <v>0</v>
      </c>
      <c r="E12" s="69">
        <f t="shared" si="5"/>
        <v>0</v>
      </c>
      <c r="F12" s="245">
        <f t="shared" si="6"/>
        <v>0</v>
      </c>
      <c r="G12" s="570"/>
      <c r="H12" s="246">
        <f>fbreedrate*IF(AND(B12&gt;='Mit-SumHabPrt'!$C$4, B12&lt;'Mit-SumHabPrt'!$C$5),'Mit-SumHabPrt'!$C$19,0)</f>
        <v>0</v>
      </c>
      <c r="I12" s="247">
        <f>IF(AND(B12&gt;='Mit-WinHabPrt'!$C$4,B12&lt;'Mit-WinHabPrt'!$C$5),'Mit-WinHabPrt'!$C$20/('Mit-WinHabPrt'!$C$5-'Mit-WinHabPrt'!$C$4),0)</f>
        <v>0</v>
      </c>
      <c r="J12" s="248">
        <f>fbreedrate*IF(AND(B12&gt;='Mit-SumHabRst'!$C$4,B12&lt;'Mit-SumHabRst'!$C$5),VLOOKUP(B12,'Mit-SumHabRst'!$W$37:$Z$136,4),0)</f>
        <v>0</v>
      </c>
      <c r="K12" s="240">
        <f t="shared" si="1"/>
        <v>0</v>
      </c>
      <c r="L12" s="64">
        <f t="shared" si="2"/>
        <v>0</v>
      </c>
      <c r="M12" s="63">
        <f t="shared" si="3"/>
        <v>0</v>
      </c>
      <c r="N12" s="238">
        <f t="shared" si="7"/>
        <v>0</v>
      </c>
    </row>
    <row r="13" spans="1:17" x14ac:dyDescent="0.3">
      <c r="A13" s="530">
        <v>6</v>
      </c>
      <c r="B13" s="564">
        <f t="shared" si="8"/>
        <v>5</v>
      </c>
      <c r="C13" s="71">
        <f t="shared" si="0"/>
        <v>0</v>
      </c>
      <c r="D13" s="69">
        <f t="shared" si="4"/>
        <v>0</v>
      </c>
      <c r="E13" s="69">
        <f t="shared" si="5"/>
        <v>0</v>
      </c>
      <c r="F13" s="245">
        <f t="shared" si="6"/>
        <v>0</v>
      </c>
      <c r="G13" s="570"/>
      <c r="H13" s="246">
        <f>fbreedrate*IF(AND(B13&gt;='Mit-SumHabPrt'!$C$4, B13&lt;'Mit-SumHabPrt'!$C$5),'Mit-SumHabPrt'!$C$19,0)</f>
        <v>0</v>
      </c>
      <c r="I13" s="247">
        <f>IF(AND(B13&gt;='Mit-WinHabPrt'!$C$4,B13&lt;'Mit-WinHabPrt'!$C$5),'Mit-WinHabPrt'!$C$20/('Mit-WinHabPrt'!$C$5-'Mit-WinHabPrt'!$C$4),0)</f>
        <v>0</v>
      </c>
      <c r="J13" s="248">
        <f>fbreedrate*IF(AND(B13&gt;='Mit-SumHabRst'!$C$4,B13&lt;'Mit-SumHabRst'!$C$5),VLOOKUP(B13,'Mit-SumHabRst'!$W$37:$Z$136,4),0)</f>
        <v>0</v>
      </c>
      <c r="K13" s="240">
        <f t="shared" si="1"/>
        <v>0</v>
      </c>
      <c r="L13" s="64">
        <f t="shared" si="2"/>
        <v>0</v>
      </c>
      <c r="M13" s="63">
        <f t="shared" si="3"/>
        <v>0</v>
      </c>
      <c r="N13" s="238">
        <f t="shared" si="7"/>
        <v>0</v>
      </c>
    </row>
    <row r="14" spans="1:17" x14ac:dyDescent="0.3">
      <c r="A14" s="530">
        <v>7</v>
      </c>
      <c r="B14" s="564">
        <f t="shared" si="8"/>
        <v>6</v>
      </c>
      <c r="C14" s="71">
        <f t="shared" si="0"/>
        <v>0</v>
      </c>
      <c r="D14" s="69">
        <f t="shared" si="4"/>
        <v>0</v>
      </c>
      <c r="E14" s="69">
        <f t="shared" si="5"/>
        <v>0</v>
      </c>
      <c r="F14" s="245">
        <f t="shared" si="6"/>
        <v>0</v>
      </c>
      <c r="G14" s="570"/>
      <c r="H14" s="246">
        <f>fbreedrate*IF(AND(B14&gt;='Mit-SumHabPrt'!$C$4, B14&lt;'Mit-SumHabPrt'!$C$5),'Mit-SumHabPrt'!$C$19,0)</f>
        <v>0</v>
      </c>
      <c r="I14" s="247">
        <f>IF(AND(B14&gt;='Mit-WinHabPrt'!$C$4,B14&lt;'Mit-WinHabPrt'!$C$5),'Mit-WinHabPrt'!$C$20/('Mit-WinHabPrt'!$C$5-'Mit-WinHabPrt'!$C$4),0)</f>
        <v>0</v>
      </c>
      <c r="J14" s="248">
        <f>fbreedrate*IF(AND(B14&gt;='Mit-SumHabRst'!$C$4,B14&lt;'Mit-SumHabRst'!$C$5),VLOOKUP(B14,'Mit-SumHabRst'!$W$37:$Z$136,4),0)</f>
        <v>0</v>
      </c>
      <c r="K14" s="240">
        <f t="shared" si="1"/>
        <v>0</v>
      </c>
      <c r="L14" s="64">
        <f t="shared" si="2"/>
        <v>0</v>
      </c>
      <c r="M14" s="63">
        <f t="shared" si="3"/>
        <v>0</v>
      </c>
      <c r="N14" s="238">
        <f t="shared" si="7"/>
        <v>0</v>
      </c>
    </row>
    <row r="15" spans="1:17" x14ac:dyDescent="0.3">
      <c r="A15" s="530">
        <v>8</v>
      </c>
      <c r="B15" s="564">
        <f t="shared" si="8"/>
        <v>7</v>
      </c>
      <c r="C15" s="71">
        <f t="shared" si="0"/>
        <v>0</v>
      </c>
      <c r="D15" s="69">
        <f t="shared" si="4"/>
        <v>0</v>
      </c>
      <c r="E15" s="69">
        <f t="shared" si="5"/>
        <v>0</v>
      </c>
      <c r="F15" s="245">
        <f t="shared" si="6"/>
        <v>0</v>
      </c>
      <c r="G15" s="570"/>
      <c r="H15" s="246">
        <f>fbreedrate*IF(AND(B15&gt;='Mit-SumHabPrt'!$C$4, B15&lt;'Mit-SumHabPrt'!$C$5),'Mit-SumHabPrt'!$C$19,0)</f>
        <v>0</v>
      </c>
      <c r="I15" s="247">
        <f>IF(AND(B15&gt;='Mit-WinHabPrt'!$C$4,B15&lt;'Mit-WinHabPrt'!$C$5),'Mit-WinHabPrt'!$C$20/('Mit-WinHabPrt'!$C$5-'Mit-WinHabPrt'!$C$4),0)</f>
        <v>0</v>
      </c>
      <c r="J15" s="248">
        <f>fbreedrate*IF(AND(B15&gt;='Mit-SumHabRst'!$C$4,B15&lt;'Mit-SumHabRst'!$C$5),VLOOKUP(B15,'Mit-SumHabRst'!$W$37:$Z$136,4),0)</f>
        <v>0</v>
      </c>
      <c r="K15" s="240">
        <f>SUM(H15,I15,J15)</f>
        <v>0</v>
      </c>
      <c r="L15" s="64">
        <f t="shared" si="2"/>
        <v>0</v>
      </c>
      <c r="M15" s="63">
        <f t="shared" si="3"/>
        <v>0</v>
      </c>
      <c r="N15" s="238">
        <f t="shared" si="7"/>
        <v>0</v>
      </c>
    </row>
    <row r="16" spans="1:17" x14ac:dyDescent="0.3">
      <c r="A16" s="530">
        <v>9</v>
      </c>
      <c r="B16" s="564">
        <f t="shared" si="8"/>
        <v>8</v>
      </c>
      <c r="C16" s="71">
        <f t="shared" si="0"/>
        <v>0</v>
      </c>
      <c r="D16" s="69">
        <f t="shared" si="4"/>
        <v>0</v>
      </c>
      <c r="E16" s="69">
        <f t="shared" si="5"/>
        <v>0</v>
      </c>
      <c r="F16" s="245">
        <f t="shared" si="6"/>
        <v>0</v>
      </c>
      <c r="G16" s="570"/>
      <c r="H16" s="246">
        <f>fbreedrate*IF(AND(B16&gt;='Mit-SumHabPrt'!$C$4, B16&lt;'Mit-SumHabPrt'!$C$5),'Mit-SumHabPrt'!$C$19,0)</f>
        <v>0</v>
      </c>
      <c r="I16" s="247">
        <f>IF(AND(B16&gt;='Mit-WinHabPrt'!$C$4,B16&lt;'Mit-WinHabPrt'!$C$5),'Mit-WinHabPrt'!$C$20/('Mit-WinHabPrt'!$C$5-'Mit-WinHabPrt'!$C$4),0)</f>
        <v>0</v>
      </c>
      <c r="J16" s="248">
        <f>fbreedrate*IF(AND(B16&gt;='Mit-SumHabRst'!$C$4,B16&lt;'Mit-SumHabRst'!$C$5),VLOOKUP(B16,'Mit-SumHabRst'!$W$37:$Z$136,4),0)</f>
        <v>0</v>
      </c>
      <c r="K16" s="240">
        <f t="shared" si="1"/>
        <v>0</v>
      </c>
      <c r="L16" s="64">
        <f t="shared" si="2"/>
        <v>0</v>
      </c>
      <c r="M16" s="63">
        <f t="shared" si="3"/>
        <v>0</v>
      </c>
      <c r="N16" s="238">
        <f t="shared" si="7"/>
        <v>0</v>
      </c>
    </row>
    <row r="17" spans="1:16" ht="18" customHeight="1" x14ac:dyDescent="0.3">
      <c r="A17" s="530">
        <v>10</v>
      </c>
      <c r="B17" s="564">
        <f t="shared" si="8"/>
        <v>9</v>
      </c>
      <c r="C17" s="71">
        <f t="shared" si="0"/>
        <v>0</v>
      </c>
      <c r="D17" s="69">
        <f t="shared" si="4"/>
        <v>0</v>
      </c>
      <c r="E17" s="69">
        <f t="shared" si="5"/>
        <v>0</v>
      </c>
      <c r="F17" s="245">
        <f t="shared" si="6"/>
        <v>0</v>
      </c>
      <c r="G17" s="570"/>
      <c r="H17" s="246">
        <f>fbreedrate*IF(AND(B17&gt;='Mit-SumHabPrt'!$C$4, B17&lt;'Mit-SumHabPrt'!$C$5),'Mit-SumHabPrt'!$C$19,0)</f>
        <v>0</v>
      </c>
      <c r="I17" s="247">
        <f>IF(AND(B17&gt;='Mit-WinHabPrt'!$C$4,B17&lt;'Mit-WinHabPrt'!$C$5),'Mit-WinHabPrt'!$C$20/('Mit-WinHabPrt'!$C$5-'Mit-WinHabPrt'!$C$4),0)</f>
        <v>0</v>
      </c>
      <c r="J17" s="248">
        <f>fbreedrate*IF(AND(B17&gt;='Mit-SumHabRst'!$C$4,B17&lt;'Mit-SumHabRst'!$C$5),VLOOKUP(B17,'Mit-SumHabRst'!$W$37:$Z$136,4),0)</f>
        <v>0</v>
      </c>
      <c r="K17" s="240">
        <f t="shared" si="1"/>
        <v>0</v>
      </c>
      <c r="L17" s="64">
        <f t="shared" si="2"/>
        <v>0</v>
      </c>
      <c r="M17" s="63">
        <f t="shared" si="3"/>
        <v>0</v>
      </c>
      <c r="N17" s="238">
        <f t="shared" si="7"/>
        <v>0</v>
      </c>
    </row>
    <row r="18" spans="1:16" x14ac:dyDescent="0.3">
      <c r="A18" s="530">
        <v>11</v>
      </c>
      <c r="B18" s="564">
        <f t="shared" si="8"/>
        <v>10</v>
      </c>
      <c r="C18" s="71">
        <f t="shared" si="0"/>
        <v>0</v>
      </c>
      <c r="D18" s="69">
        <f t="shared" si="4"/>
        <v>0</v>
      </c>
      <c r="E18" s="69">
        <f t="shared" si="5"/>
        <v>0</v>
      </c>
      <c r="F18" s="245">
        <f t="shared" si="6"/>
        <v>0</v>
      </c>
      <c r="G18" s="570"/>
      <c r="H18" s="246">
        <f>fbreedrate*IF(AND(B18&gt;='Mit-SumHabPrt'!$C$4, B18&lt;'Mit-SumHabPrt'!$C$5),'Mit-SumHabPrt'!$C$19,0)</f>
        <v>0</v>
      </c>
      <c r="I18" s="247">
        <f>IF(AND(B18&gt;='Mit-WinHabPrt'!$C$4,B18&lt;'Mit-WinHabPrt'!$C$5),'Mit-WinHabPrt'!$C$20/('Mit-WinHabPrt'!$C$5-'Mit-WinHabPrt'!$C$4),0)</f>
        <v>0</v>
      </c>
      <c r="J18" s="248">
        <f>fbreedrate*IF(AND(B18&gt;='Mit-SumHabRst'!$C$4,B18&lt;'Mit-SumHabRst'!$C$5),VLOOKUP(B18,'Mit-SumHabRst'!$W$37:$Z$136,4),0)</f>
        <v>0</v>
      </c>
      <c r="K18" s="240">
        <f t="shared" si="1"/>
        <v>0</v>
      </c>
      <c r="L18" s="64">
        <f t="shared" si="2"/>
        <v>0</v>
      </c>
      <c r="M18" s="63">
        <f t="shared" si="3"/>
        <v>0</v>
      </c>
      <c r="N18" s="238">
        <f t="shared" si="7"/>
        <v>0</v>
      </c>
    </row>
    <row r="19" spans="1:16" x14ac:dyDescent="0.3">
      <c r="A19" s="530">
        <v>12</v>
      </c>
      <c r="B19" s="564">
        <f t="shared" si="8"/>
        <v>11</v>
      </c>
      <c r="C19" s="71">
        <f t="shared" si="0"/>
        <v>0</v>
      </c>
      <c r="D19" s="69">
        <f t="shared" si="4"/>
        <v>0</v>
      </c>
      <c r="E19" s="69">
        <f t="shared" si="5"/>
        <v>0</v>
      </c>
      <c r="F19" s="245">
        <f t="shared" si="6"/>
        <v>0</v>
      </c>
      <c r="G19" s="570"/>
      <c r="H19" s="246">
        <f>fbreedrate*IF(AND(B19&gt;='Mit-SumHabPrt'!$C$4, B19&lt;'Mit-SumHabPrt'!$C$5),'Mit-SumHabPrt'!$C$19,0)</f>
        <v>0</v>
      </c>
      <c r="I19" s="247">
        <f>IF(AND(B19&gt;='Mit-WinHabPrt'!$C$4,B19&lt;'Mit-WinHabPrt'!$C$5),'Mit-WinHabPrt'!$C$20/('Mit-WinHabPrt'!$C$5-'Mit-WinHabPrt'!$C$4),0)</f>
        <v>0</v>
      </c>
      <c r="J19" s="248">
        <f>fbreedrate*IF(AND(B19&gt;='Mit-SumHabRst'!$C$4,B19&lt;'Mit-SumHabRst'!$C$5),VLOOKUP(B19,'Mit-SumHabRst'!$W$37:$Z$136,4),0)</f>
        <v>0</v>
      </c>
      <c r="K19" s="240">
        <f t="shared" si="1"/>
        <v>0</v>
      </c>
      <c r="L19" s="64">
        <f t="shared" si="2"/>
        <v>0</v>
      </c>
      <c r="M19" s="63">
        <f t="shared" si="3"/>
        <v>0</v>
      </c>
      <c r="N19" s="238">
        <f t="shared" si="7"/>
        <v>0</v>
      </c>
    </row>
    <row r="20" spans="1:16" x14ac:dyDescent="0.3">
      <c r="A20" s="530">
        <v>13</v>
      </c>
      <c r="B20" s="564">
        <f t="shared" si="8"/>
        <v>12</v>
      </c>
      <c r="C20" s="71">
        <f t="shared" si="0"/>
        <v>0</v>
      </c>
      <c r="D20" s="69">
        <f t="shared" si="4"/>
        <v>0</v>
      </c>
      <c r="E20" s="69">
        <f t="shared" si="5"/>
        <v>0</v>
      </c>
      <c r="F20" s="245">
        <f t="shared" si="6"/>
        <v>0</v>
      </c>
      <c r="G20" s="570"/>
      <c r="H20" s="246">
        <f>fbreedrate*IF(AND(B20&gt;='Mit-SumHabPrt'!$C$4, B20&lt;'Mit-SumHabPrt'!$C$5),'Mit-SumHabPrt'!$C$19,0)</f>
        <v>0</v>
      </c>
      <c r="I20" s="247">
        <f>IF(AND(B20&gt;='Mit-WinHabPrt'!$C$4,B20&lt;'Mit-WinHabPrt'!$C$5),'Mit-WinHabPrt'!$C$20/('Mit-WinHabPrt'!$C$5-'Mit-WinHabPrt'!$C$4),0)</f>
        <v>0</v>
      </c>
      <c r="J20" s="248">
        <f>fbreedrate*IF(AND(B20&gt;='Mit-SumHabRst'!$C$4,B20&lt;'Mit-SumHabRst'!$C$5),VLOOKUP(B20,'Mit-SumHabRst'!$W$37:$Z$136,4),0)</f>
        <v>0</v>
      </c>
      <c r="K20" s="240">
        <f t="shared" si="1"/>
        <v>0</v>
      </c>
      <c r="L20" s="64">
        <f t="shared" si="2"/>
        <v>0</v>
      </c>
      <c r="M20" s="63">
        <f t="shared" si="3"/>
        <v>0</v>
      </c>
      <c r="N20" s="238">
        <f t="shared" si="7"/>
        <v>0</v>
      </c>
    </row>
    <row r="21" spans="1:16" x14ac:dyDescent="0.3">
      <c r="A21" s="530">
        <v>14</v>
      </c>
      <c r="B21" s="564">
        <f t="shared" si="8"/>
        <v>13</v>
      </c>
      <c r="C21" s="71">
        <f t="shared" si="0"/>
        <v>0</v>
      </c>
      <c r="D21" s="69">
        <f t="shared" si="4"/>
        <v>0</v>
      </c>
      <c r="E21" s="69">
        <f t="shared" si="5"/>
        <v>0</v>
      </c>
      <c r="F21" s="245">
        <f t="shared" si="6"/>
        <v>0</v>
      </c>
      <c r="G21" s="570"/>
      <c r="H21" s="246">
        <f>fbreedrate*IF(AND(B21&gt;='Mit-SumHabPrt'!$C$4, B21&lt;'Mit-SumHabPrt'!$C$5),'Mit-SumHabPrt'!$C$19,0)</f>
        <v>0</v>
      </c>
      <c r="I21" s="247">
        <f>IF(AND(B21&gt;='Mit-WinHabPrt'!$C$4,B21&lt;'Mit-WinHabPrt'!$C$5),'Mit-WinHabPrt'!$C$20/('Mit-WinHabPrt'!$C$5-'Mit-WinHabPrt'!$C$4),0)</f>
        <v>0</v>
      </c>
      <c r="J21" s="248">
        <f>fbreedrate*IF(AND(B21&gt;='Mit-SumHabRst'!$C$4,B21&lt;'Mit-SumHabRst'!$C$5),VLOOKUP(B21,'Mit-SumHabRst'!$W$37:$Z$136,4),0)</f>
        <v>0</v>
      </c>
      <c r="K21" s="240">
        <f t="shared" si="1"/>
        <v>0</v>
      </c>
      <c r="L21" s="64">
        <f t="shared" si="2"/>
        <v>0</v>
      </c>
      <c r="M21" s="63">
        <f t="shared" si="3"/>
        <v>0</v>
      </c>
      <c r="N21" s="238">
        <f t="shared" si="7"/>
        <v>0</v>
      </c>
    </row>
    <row r="22" spans="1:16" x14ac:dyDescent="0.3">
      <c r="A22" s="530">
        <v>15</v>
      </c>
      <c r="B22" s="564">
        <f t="shared" si="8"/>
        <v>14</v>
      </c>
      <c r="C22" s="71">
        <f t="shared" si="0"/>
        <v>0</v>
      </c>
      <c r="D22" s="69">
        <f t="shared" si="4"/>
        <v>0</v>
      </c>
      <c r="E22" s="69">
        <f t="shared" si="5"/>
        <v>0</v>
      </c>
      <c r="F22" s="245">
        <f t="shared" si="6"/>
        <v>0</v>
      </c>
      <c r="G22" s="570"/>
      <c r="H22" s="246">
        <f>fbreedrate*IF(AND(B22&gt;='Mit-SumHabPrt'!$C$4, B22&lt;'Mit-SumHabPrt'!$C$5),'Mit-SumHabPrt'!$C$19,0)</f>
        <v>0</v>
      </c>
      <c r="I22" s="247">
        <f>IF(AND(B22&gt;='Mit-WinHabPrt'!$C$4,B22&lt;'Mit-WinHabPrt'!$C$5),'Mit-WinHabPrt'!$C$20/('Mit-WinHabPrt'!$C$5-'Mit-WinHabPrt'!$C$4),0)</f>
        <v>0</v>
      </c>
      <c r="J22" s="248">
        <f>fbreedrate*IF(AND(B22&gt;='Mit-SumHabRst'!$C$4,B22&lt;'Mit-SumHabRst'!$C$5),VLOOKUP(B22,'Mit-SumHabRst'!$W$37:$Z$136,4),0)</f>
        <v>0</v>
      </c>
      <c r="K22" s="240">
        <f t="shared" si="1"/>
        <v>0</v>
      </c>
      <c r="L22" s="64">
        <f t="shared" si="2"/>
        <v>0</v>
      </c>
      <c r="M22" s="63">
        <f t="shared" si="3"/>
        <v>0</v>
      </c>
      <c r="N22" s="238">
        <f t="shared" si="7"/>
        <v>0</v>
      </c>
    </row>
    <row r="23" spans="1:16" x14ac:dyDescent="0.3">
      <c r="A23" s="530">
        <v>16</v>
      </c>
      <c r="B23" s="564">
        <f t="shared" si="8"/>
        <v>15</v>
      </c>
      <c r="C23" s="71">
        <f t="shared" si="0"/>
        <v>0</v>
      </c>
      <c r="D23" s="69">
        <f t="shared" si="4"/>
        <v>0</v>
      </c>
      <c r="E23" s="69">
        <f t="shared" si="5"/>
        <v>0</v>
      </c>
      <c r="F23" s="245">
        <f t="shared" si="6"/>
        <v>0</v>
      </c>
      <c r="G23" s="570"/>
      <c r="H23" s="246">
        <f>fbreedrate*IF(AND(B23&gt;='Mit-SumHabPrt'!$C$4, B23&lt;'Mit-SumHabPrt'!$C$5),'Mit-SumHabPrt'!$C$19,0)</f>
        <v>0</v>
      </c>
      <c r="I23" s="247">
        <f>IF(AND(B23&gt;='Mit-WinHabPrt'!$C$4,B23&lt;'Mit-WinHabPrt'!$C$5),'Mit-WinHabPrt'!$C$20/('Mit-WinHabPrt'!$C$5-'Mit-WinHabPrt'!$C$4),0)</f>
        <v>0</v>
      </c>
      <c r="J23" s="248">
        <f>fbreedrate*IF(AND(B23&gt;='Mit-SumHabRst'!$C$4,B23&lt;'Mit-SumHabRst'!$C$5),VLOOKUP(B23,'Mit-SumHabRst'!$W$37:$Z$136,4),0)</f>
        <v>0</v>
      </c>
      <c r="K23" s="240">
        <f t="shared" si="1"/>
        <v>0</v>
      </c>
      <c r="L23" s="64">
        <f t="shared" si="2"/>
        <v>0</v>
      </c>
      <c r="M23" s="63">
        <f t="shared" si="3"/>
        <v>0</v>
      </c>
      <c r="N23" s="238">
        <f t="shared" si="7"/>
        <v>0</v>
      </c>
    </row>
    <row r="24" spans="1:16" x14ac:dyDescent="0.3">
      <c r="A24" s="530">
        <v>17</v>
      </c>
      <c r="B24" s="564">
        <f t="shared" si="8"/>
        <v>16</v>
      </c>
      <c r="C24" s="71">
        <f t="shared" si="0"/>
        <v>0</v>
      </c>
      <c r="D24" s="69">
        <f t="shared" si="4"/>
        <v>0</v>
      </c>
      <c r="E24" s="69">
        <f t="shared" si="5"/>
        <v>0</v>
      </c>
      <c r="F24" s="245">
        <f t="shared" si="6"/>
        <v>0</v>
      </c>
      <c r="G24" s="570"/>
      <c r="H24" s="246">
        <f>fbreedrate*IF(AND(B24&gt;='Mit-SumHabPrt'!$C$4, B24&lt;'Mit-SumHabPrt'!$C$5),'Mit-SumHabPrt'!$C$19,0)</f>
        <v>0</v>
      </c>
      <c r="I24" s="247">
        <f>IF(AND(B24&gt;='Mit-WinHabPrt'!$C$4,B24&lt;'Mit-WinHabPrt'!$C$5),'Mit-WinHabPrt'!$C$20/('Mit-WinHabPrt'!$C$5-'Mit-WinHabPrt'!$C$4),0)</f>
        <v>0</v>
      </c>
      <c r="J24" s="248">
        <f>fbreedrate*IF(AND(B24&gt;='Mit-SumHabRst'!$C$4,B24&lt;'Mit-SumHabRst'!$C$5),VLOOKUP(B24,'Mit-SumHabRst'!$W$37:$Z$136,4),0)</f>
        <v>0</v>
      </c>
      <c r="K24" s="240">
        <f t="shared" si="1"/>
        <v>0</v>
      </c>
      <c r="L24" s="64">
        <f t="shared" si="2"/>
        <v>0</v>
      </c>
      <c r="M24" s="63">
        <f t="shared" si="3"/>
        <v>0</v>
      </c>
      <c r="N24" s="238">
        <f t="shared" si="7"/>
        <v>0</v>
      </c>
    </row>
    <row r="25" spans="1:16" x14ac:dyDescent="0.3">
      <c r="A25" s="530">
        <v>18</v>
      </c>
      <c r="B25" s="564">
        <f t="shared" si="8"/>
        <v>17</v>
      </c>
      <c r="C25" s="71">
        <f t="shared" si="0"/>
        <v>0</v>
      </c>
      <c r="D25" s="69">
        <f t="shared" si="4"/>
        <v>0</v>
      </c>
      <c r="E25" s="69">
        <f t="shared" si="5"/>
        <v>0</v>
      </c>
      <c r="F25" s="245">
        <f t="shared" si="6"/>
        <v>0</v>
      </c>
      <c r="G25" s="570"/>
      <c r="H25" s="246">
        <f>fbreedrate*IF(AND(B25&gt;='Mit-SumHabPrt'!$C$4, B25&lt;'Mit-SumHabPrt'!$C$5),'Mit-SumHabPrt'!$C$19,0)</f>
        <v>0</v>
      </c>
      <c r="I25" s="247">
        <f>IF(AND(B25&gt;='Mit-WinHabPrt'!$C$4,B25&lt;'Mit-WinHabPrt'!$C$5),'Mit-WinHabPrt'!$C$20/('Mit-WinHabPrt'!$C$5-'Mit-WinHabPrt'!$C$4),0)</f>
        <v>0</v>
      </c>
      <c r="J25" s="248">
        <f>fbreedrate*IF(AND(B25&gt;='Mit-SumHabRst'!$C$4,B25&lt;'Mit-SumHabRst'!$C$5),VLOOKUP(B25,'Mit-SumHabRst'!$W$37:$Z$136,4),0)</f>
        <v>0</v>
      </c>
      <c r="K25" s="240">
        <f t="shared" si="1"/>
        <v>0</v>
      </c>
      <c r="L25" s="64">
        <f t="shared" si="2"/>
        <v>0</v>
      </c>
      <c r="M25" s="63">
        <f t="shared" si="3"/>
        <v>0</v>
      </c>
      <c r="N25" s="238">
        <f t="shared" si="7"/>
        <v>0</v>
      </c>
    </row>
    <row r="26" spans="1:16" x14ac:dyDescent="0.3">
      <c r="A26" s="530">
        <v>19</v>
      </c>
      <c r="B26" s="564">
        <f t="shared" si="8"/>
        <v>18</v>
      </c>
      <c r="C26" s="71">
        <f t="shared" si="0"/>
        <v>0</v>
      </c>
      <c r="D26" s="69">
        <f t="shared" si="4"/>
        <v>0</v>
      </c>
      <c r="E26" s="69">
        <f t="shared" si="5"/>
        <v>0</v>
      </c>
      <c r="F26" s="245">
        <f t="shared" si="6"/>
        <v>0</v>
      </c>
      <c r="G26" s="570"/>
      <c r="H26" s="246">
        <f>fbreedrate*IF(AND(B26&gt;='Mit-SumHabPrt'!$C$4, B26&lt;'Mit-SumHabPrt'!$C$5),'Mit-SumHabPrt'!$C$19,0)</f>
        <v>0</v>
      </c>
      <c r="I26" s="247">
        <f>IF(AND(B26&gt;='Mit-WinHabPrt'!$C$4,B26&lt;'Mit-WinHabPrt'!$C$5),'Mit-WinHabPrt'!$C$20/('Mit-WinHabPrt'!$C$5-'Mit-WinHabPrt'!$C$4),0)</f>
        <v>0</v>
      </c>
      <c r="J26" s="248">
        <f>fbreedrate*IF(AND(B26&gt;='Mit-SumHabRst'!$C$4,B26&lt;'Mit-SumHabRst'!$C$5),VLOOKUP(B26,'Mit-SumHabRst'!$W$37:$Z$136,4),0)</f>
        <v>0</v>
      </c>
      <c r="K26" s="240">
        <f t="shared" si="1"/>
        <v>0</v>
      </c>
      <c r="L26" s="64">
        <f t="shared" si="2"/>
        <v>0</v>
      </c>
      <c r="M26" s="63">
        <f t="shared" si="3"/>
        <v>0</v>
      </c>
      <c r="N26" s="238">
        <f t="shared" si="7"/>
        <v>0</v>
      </c>
      <c r="O26" s="543"/>
      <c r="P26" s="544"/>
    </row>
    <row r="27" spans="1:16" x14ac:dyDescent="0.3">
      <c r="A27" s="530">
        <v>20</v>
      </c>
      <c r="B27" s="564">
        <f t="shared" si="8"/>
        <v>19</v>
      </c>
      <c r="C27" s="71">
        <f t="shared" si="0"/>
        <v>0</v>
      </c>
      <c r="D27" s="69">
        <f t="shared" si="4"/>
        <v>0</v>
      </c>
      <c r="E27" s="69">
        <f t="shared" si="5"/>
        <v>0</v>
      </c>
      <c r="F27" s="245">
        <f t="shared" si="6"/>
        <v>0</v>
      </c>
      <c r="G27" s="570"/>
      <c r="H27" s="246">
        <f>fbreedrate*IF(AND(B27&gt;='Mit-SumHabPrt'!$C$4, B27&lt;'Mit-SumHabPrt'!$C$5),'Mit-SumHabPrt'!$C$19,0)</f>
        <v>0</v>
      </c>
      <c r="I27" s="247">
        <f>IF(AND(B27&gt;='Mit-WinHabPrt'!$C$4,B27&lt;'Mit-WinHabPrt'!$C$5),'Mit-WinHabPrt'!$C$20/('Mit-WinHabPrt'!$C$5-'Mit-WinHabPrt'!$C$4),0)</f>
        <v>0</v>
      </c>
      <c r="J27" s="248">
        <f>fbreedrate*IF(AND(B27&gt;='Mit-SumHabRst'!$C$4,B27&lt;'Mit-SumHabRst'!$C$5),VLOOKUP(B27,'Mit-SumHabRst'!$W$37:$Z$136,4),0)</f>
        <v>0</v>
      </c>
      <c r="K27" s="240">
        <f t="shared" si="1"/>
        <v>0</v>
      </c>
      <c r="L27" s="64">
        <f t="shared" si="2"/>
        <v>0</v>
      </c>
      <c r="M27" s="63">
        <f t="shared" si="3"/>
        <v>0</v>
      </c>
      <c r="N27" s="238">
        <f t="shared" si="7"/>
        <v>0</v>
      </c>
      <c r="O27" s="543"/>
      <c r="P27" s="544"/>
    </row>
    <row r="28" spans="1:16" x14ac:dyDescent="0.3">
      <c r="A28" s="530">
        <v>21</v>
      </c>
      <c r="B28" s="564">
        <f t="shared" si="8"/>
        <v>20</v>
      </c>
      <c r="C28" s="71">
        <f t="shared" si="0"/>
        <v>0</v>
      </c>
      <c r="D28" s="69">
        <f t="shared" si="4"/>
        <v>0</v>
      </c>
      <c r="E28" s="69">
        <f t="shared" si="5"/>
        <v>0</v>
      </c>
      <c r="F28" s="245">
        <f t="shared" si="6"/>
        <v>0</v>
      </c>
      <c r="G28" s="570"/>
      <c r="H28" s="246">
        <f>fbreedrate*IF(AND(B28&gt;='Mit-SumHabPrt'!$C$4, B28&lt;'Mit-SumHabPrt'!$C$5),'Mit-SumHabPrt'!$C$19,0)</f>
        <v>0</v>
      </c>
      <c r="I28" s="247">
        <f>IF(AND(B28&gt;='Mit-WinHabPrt'!$C$4,B28&lt;'Mit-WinHabPrt'!$C$5),'Mit-WinHabPrt'!$C$20/('Mit-WinHabPrt'!$C$5-'Mit-WinHabPrt'!$C$4),0)</f>
        <v>0</v>
      </c>
      <c r="J28" s="248">
        <f>fbreedrate*IF(AND(B28&gt;='Mit-SumHabRst'!$C$4,B28&lt;'Mit-SumHabRst'!$C$5),VLOOKUP(B28,'Mit-SumHabRst'!$W$37:$Z$136,4),0)</f>
        <v>0</v>
      </c>
      <c r="K28" s="240">
        <f t="shared" si="1"/>
        <v>0</v>
      </c>
      <c r="L28" s="64">
        <f t="shared" si="2"/>
        <v>0</v>
      </c>
      <c r="M28" s="63">
        <f t="shared" si="3"/>
        <v>0</v>
      </c>
      <c r="N28" s="238">
        <f t="shared" si="7"/>
        <v>0</v>
      </c>
      <c r="O28" s="543"/>
      <c r="P28" s="544"/>
    </row>
    <row r="29" spans="1:16" x14ac:dyDescent="0.3">
      <c r="A29" s="530">
        <v>22</v>
      </c>
      <c r="B29" s="564">
        <f t="shared" si="8"/>
        <v>21</v>
      </c>
      <c r="C29" s="71">
        <f t="shared" si="0"/>
        <v>0</v>
      </c>
      <c r="D29" s="69">
        <f t="shared" si="4"/>
        <v>0</v>
      </c>
      <c r="E29" s="69">
        <f t="shared" si="5"/>
        <v>0</v>
      </c>
      <c r="F29" s="245">
        <f t="shared" si="6"/>
        <v>0</v>
      </c>
      <c r="G29" s="570"/>
      <c r="H29" s="246">
        <f>fbreedrate*IF(AND(B29&gt;='Mit-SumHabPrt'!$C$4, B29&lt;'Mit-SumHabPrt'!$C$5),'Mit-SumHabPrt'!$C$19,0)</f>
        <v>0</v>
      </c>
      <c r="I29" s="247">
        <f>IF(AND(B29&gt;='Mit-WinHabPrt'!$C$4,B29&lt;'Mit-WinHabPrt'!$C$5),'Mit-WinHabPrt'!$C$20/('Mit-WinHabPrt'!$C$5-'Mit-WinHabPrt'!$C$4),0)</f>
        <v>0</v>
      </c>
      <c r="J29" s="248">
        <f>fbreedrate*IF(AND(B29&gt;='Mit-SumHabRst'!$C$4,B29&lt;'Mit-SumHabRst'!$C$5),VLOOKUP(B29,'Mit-SumHabRst'!$W$37:$Z$136,4),0)</f>
        <v>0</v>
      </c>
      <c r="K29" s="240">
        <f t="shared" si="1"/>
        <v>0</v>
      </c>
      <c r="L29" s="64">
        <f t="shared" si="2"/>
        <v>0</v>
      </c>
      <c r="M29" s="63">
        <f t="shared" si="3"/>
        <v>0</v>
      </c>
      <c r="N29" s="238">
        <f t="shared" si="7"/>
        <v>0</v>
      </c>
      <c r="O29" s="543"/>
      <c r="P29" s="544"/>
    </row>
    <row r="30" spans="1:16" x14ac:dyDescent="0.3">
      <c r="A30" s="530">
        <v>23</v>
      </c>
      <c r="B30" s="564">
        <f t="shared" si="8"/>
        <v>22</v>
      </c>
      <c r="C30" s="71">
        <f t="shared" si="0"/>
        <v>0</v>
      </c>
      <c r="D30" s="69">
        <f t="shared" si="4"/>
        <v>0</v>
      </c>
      <c r="E30" s="69">
        <f t="shared" si="5"/>
        <v>0</v>
      </c>
      <c r="F30" s="245">
        <f t="shared" si="6"/>
        <v>0</v>
      </c>
      <c r="G30" s="570"/>
      <c r="H30" s="246">
        <f>fbreedrate*IF(AND(B30&gt;='Mit-SumHabPrt'!$C$4, B30&lt;'Mit-SumHabPrt'!$C$5),'Mit-SumHabPrt'!$C$19,0)</f>
        <v>0</v>
      </c>
      <c r="I30" s="247">
        <f>IF(AND(B30&gt;='Mit-WinHabPrt'!$C$4,B30&lt;'Mit-WinHabPrt'!$C$5),'Mit-WinHabPrt'!$C$20/('Mit-WinHabPrt'!$C$5-'Mit-WinHabPrt'!$C$4),0)</f>
        <v>0</v>
      </c>
      <c r="J30" s="248">
        <f>fbreedrate*IF(AND(B30&gt;='Mit-SumHabRst'!$C$4,B30&lt;'Mit-SumHabRst'!$C$5),VLOOKUP(B30,'Mit-SumHabRst'!$W$37:$Z$136,4),0)</f>
        <v>0</v>
      </c>
      <c r="K30" s="240">
        <f t="shared" si="1"/>
        <v>0</v>
      </c>
      <c r="L30" s="64">
        <f t="shared" si="2"/>
        <v>0</v>
      </c>
      <c r="M30" s="63">
        <f t="shared" si="3"/>
        <v>0</v>
      </c>
      <c r="N30" s="238">
        <f t="shared" si="7"/>
        <v>0</v>
      </c>
      <c r="O30" s="543"/>
      <c r="P30" s="544"/>
    </row>
    <row r="31" spans="1:16" x14ac:dyDescent="0.3">
      <c r="A31" s="530">
        <v>24</v>
      </c>
      <c r="B31" s="564">
        <f t="shared" si="8"/>
        <v>23</v>
      </c>
      <c r="C31" s="71">
        <f t="shared" si="0"/>
        <v>0</v>
      </c>
      <c r="D31" s="69">
        <f t="shared" si="4"/>
        <v>0</v>
      </c>
      <c r="E31" s="69">
        <f t="shared" si="5"/>
        <v>0</v>
      </c>
      <c r="F31" s="245">
        <f t="shared" si="6"/>
        <v>0</v>
      </c>
      <c r="G31" s="570"/>
      <c r="H31" s="246">
        <f>fbreedrate*IF(AND(B31&gt;='Mit-SumHabPrt'!$C$4, B31&lt;'Mit-SumHabPrt'!$C$5),'Mit-SumHabPrt'!$C$19,0)</f>
        <v>0</v>
      </c>
      <c r="I31" s="247">
        <f>IF(AND(B31&gt;='Mit-WinHabPrt'!$C$4,B31&lt;'Mit-WinHabPrt'!$C$5),'Mit-WinHabPrt'!$C$20/('Mit-WinHabPrt'!$C$5-'Mit-WinHabPrt'!$C$4),0)</f>
        <v>0</v>
      </c>
      <c r="J31" s="248">
        <f>fbreedrate*IF(AND(B31&gt;='Mit-SumHabRst'!$C$4,B31&lt;'Mit-SumHabRst'!$C$5),VLOOKUP(B31,'Mit-SumHabRst'!$W$37:$Z$136,4),0)</f>
        <v>0</v>
      </c>
      <c r="K31" s="240">
        <f t="shared" si="1"/>
        <v>0</v>
      </c>
      <c r="L31" s="64">
        <f t="shared" si="2"/>
        <v>0</v>
      </c>
      <c r="M31" s="63">
        <f t="shared" si="3"/>
        <v>0</v>
      </c>
      <c r="N31" s="238">
        <f t="shared" si="7"/>
        <v>0</v>
      </c>
      <c r="O31" s="543"/>
      <c r="P31" s="544"/>
    </row>
    <row r="32" spans="1:16" x14ac:dyDescent="0.3">
      <c r="A32" s="530">
        <v>25</v>
      </c>
      <c r="B32" s="564">
        <f t="shared" si="8"/>
        <v>24</v>
      </c>
      <c r="C32" s="71">
        <f t="shared" si="0"/>
        <v>0</v>
      </c>
      <c r="D32" s="69">
        <f t="shared" si="4"/>
        <v>0</v>
      </c>
      <c r="E32" s="69">
        <f t="shared" si="5"/>
        <v>0</v>
      </c>
      <c r="F32" s="245">
        <f t="shared" si="6"/>
        <v>0</v>
      </c>
      <c r="G32" s="570"/>
      <c r="H32" s="246">
        <f>fbreedrate*IF(AND(B32&gt;='Mit-SumHabPrt'!$C$4, B32&lt;'Mit-SumHabPrt'!$C$5),'Mit-SumHabPrt'!$C$19,0)</f>
        <v>0</v>
      </c>
      <c r="I32" s="247">
        <f>IF(AND(B32&gt;='Mit-WinHabPrt'!$C$4,B32&lt;'Mit-WinHabPrt'!$C$5),'Mit-WinHabPrt'!$C$20/('Mit-WinHabPrt'!$C$5-'Mit-WinHabPrt'!$C$4),0)</f>
        <v>0</v>
      </c>
      <c r="J32" s="248">
        <f>fbreedrate*IF(AND(B32&gt;='Mit-SumHabRst'!$C$4,B32&lt;'Mit-SumHabRst'!$C$5),VLOOKUP(B32,'Mit-SumHabRst'!$W$37:$Z$136,4),0)</f>
        <v>0</v>
      </c>
      <c r="K32" s="240">
        <f t="shared" si="1"/>
        <v>0</v>
      </c>
      <c r="L32" s="64">
        <f t="shared" si="2"/>
        <v>0</v>
      </c>
      <c r="M32" s="63">
        <f t="shared" si="3"/>
        <v>0</v>
      </c>
      <c r="N32" s="238">
        <f t="shared" si="7"/>
        <v>0</v>
      </c>
      <c r="O32" s="543"/>
      <c r="P32" s="544"/>
    </row>
    <row r="33" spans="1:27" s="30" customFormat="1" x14ac:dyDescent="0.3">
      <c r="A33" s="530">
        <v>26</v>
      </c>
      <c r="B33" s="564">
        <f>B32+1</f>
        <v>25</v>
      </c>
      <c r="C33" s="71">
        <f t="shared" si="0"/>
        <v>0</v>
      </c>
      <c r="D33" s="69">
        <f t="shared" si="4"/>
        <v>0</v>
      </c>
      <c r="E33" s="69">
        <f t="shared" si="5"/>
        <v>0</v>
      </c>
      <c r="F33" s="245">
        <f t="shared" si="6"/>
        <v>0</v>
      </c>
      <c r="G33" s="570"/>
      <c r="H33" s="246">
        <f>fbreedrate*IF(AND(B33&gt;='Mit-SumHabPrt'!$C$4, B33&lt;'Mit-SumHabPrt'!$C$5),'Mit-SumHabPrt'!$C$19,0)</f>
        <v>0</v>
      </c>
      <c r="I33" s="247">
        <f>IF(AND(B33&gt;='Mit-WinHabPrt'!$C$4,B33&lt;'Mit-WinHabPrt'!$C$5),'Mit-WinHabPrt'!$C$20/('Mit-WinHabPrt'!$C$5-'Mit-WinHabPrt'!$C$4),0)</f>
        <v>0</v>
      </c>
      <c r="J33" s="248">
        <f>fbreedrate*IF(AND(B33&gt;='Mit-SumHabRst'!$C$4,B33&lt;'Mit-SumHabRst'!$C$5),VLOOKUP(B33,'Mit-SumHabRst'!$W$37:$Z$136,4),0)</f>
        <v>0</v>
      </c>
      <c r="K33" s="240">
        <f t="shared" si="1"/>
        <v>0</v>
      </c>
      <c r="L33" s="64">
        <f t="shared" si="2"/>
        <v>0</v>
      </c>
      <c r="M33" s="63">
        <f t="shared" si="3"/>
        <v>0</v>
      </c>
      <c r="N33" s="238">
        <f t="shared" si="7"/>
        <v>0</v>
      </c>
      <c r="O33" s="543"/>
      <c r="P33" s="544"/>
      <c r="Q33" s="529"/>
      <c r="R33" s="529"/>
      <c r="S33" s="529"/>
      <c r="T33" s="529"/>
      <c r="U33" s="529"/>
      <c r="V33" s="529"/>
      <c r="W33" s="529"/>
      <c r="X33" s="529"/>
      <c r="Y33" s="529"/>
      <c r="Z33" s="529"/>
      <c r="AA33" s="529"/>
    </row>
    <row r="34" spans="1:27" x14ac:dyDescent="0.3">
      <c r="A34" s="530">
        <v>27</v>
      </c>
      <c r="B34" s="564">
        <f>B33+1</f>
        <v>26</v>
      </c>
      <c r="C34" s="71">
        <f t="shared" si="0"/>
        <v>0</v>
      </c>
      <c r="D34" s="69">
        <f t="shared" si="4"/>
        <v>0</v>
      </c>
      <c r="E34" s="69">
        <f t="shared" si="5"/>
        <v>0</v>
      </c>
      <c r="F34" s="245">
        <f t="shared" si="6"/>
        <v>0</v>
      </c>
      <c r="G34" s="570"/>
      <c r="H34" s="246">
        <f>fbreedrate*IF(AND(B34&gt;='Mit-SumHabPrt'!$C$4, B34&lt;'Mit-SumHabPrt'!$C$5),'Mit-SumHabPrt'!$C$19,0)</f>
        <v>0</v>
      </c>
      <c r="I34" s="247">
        <f>IF(AND(B34&gt;='Mit-WinHabPrt'!$C$4,B34&lt;'Mit-WinHabPrt'!$C$5),'Mit-WinHabPrt'!$C$20/('Mit-WinHabPrt'!$C$5-'Mit-WinHabPrt'!$C$4),0)</f>
        <v>0</v>
      </c>
      <c r="J34" s="248">
        <f>fbreedrate*IF(AND(B34&gt;='Mit-SumHabRst'!$C$4,B34&lt;'Mit-SumHabRst'!$C$5),VLOOKUP(B34,'Mit-SumHabRst'!$W$37:$Z$136,4),0)</f>
        <v>0</v>
      </c>
      <c r="K34" s="240">
        <f t="shared" si="1"/>
        <v>0</v>
      </c>
      <c r="L34" s="64">
        <f t="shared" si="2"/>
        <v>0</v>
      </c>
      <c r="M34" s="63">
        <f t="shared" si="3"/>
        <v>0</v>
      </c>
      <c r="N34" s="238">
        <f t="shared" si="7"/>
        <v>0</v>
      </c>
      <c r="O34" s="543"/>
      <c r="P34" s="544"/>
    </row>
    <row r="35" spans="1:27" x14ac:dyDescent="0.3">
      <c r="A35" s="530">
        <v>28</v>
      </c>
      <c r="B35" s="564">
        <f>B34+1</f>
        <v>27</v>
      </c>
      <c r="C35" s="71">
        <f t="shared" si="0"/>
        <v>0</v>
      </c>
      <c r="D35" s="69">
        <f t="shared" si="4"/>
        <v>0</v>
      </c>
      <c r="E35" s="69">
        <f t="shared" si="5"/>
        <v>0</v>
      </c>
      <c r="F35" s="245">
        <f t="shared" si="6"/>
        <v>0</v>
      </c>
      <c r="G35" s="570"/>
      <c r="H35" s="246">
        <f>fbreedrate*IF(AND(B35&gt;='Mit-SumHabPrt'!$C$4, B35&lt;'Mit-SumHabPrt'!$C$5),'Mit-SumHabPrt'!$C$19,0)</f>
        <v>0</v>
      </c>
      <c r="I35" s="247">
        <f>IF(AND(B35&gt;='Mit-WinHabPrt'!$C$4,B35&lt;'Mit-WinHabPrt'!$C$5),'Mit-WinHabPrt'!$C$20/('Mit-WinHabPrt'!$C$5-'Mit-WinHabPrt'!$C$4),0)</f>
        <v>0</v>
      </c>
      <c r="J35" s="248">
        <f>fbreedrate*IF(AND(B35&gt;='Mit-SumHabRst'!$C$4,B35&lt;'Mit-SumHabRst'!$C$5),VLOOKUP(B35,'Mit-SumHabRst'!$W$37:$Z$136,4),0)</f>
        <v>0</v>
      </c>
      <c r="K35" s="240">
        <f t="shared" si="1"/>
        <v>0</v>
      </c>
      <c r="L35" s="64">
        <f t="shared" si="2"/>
        <v>0</v>
      </c>
      <c r="M35" s="63">
        <f t="shared" si="3"/>
        <v>0</v>
      </c>
      <c r="N35" s="238">
        <f t="shared" si="7"/>
        <v>0</v>
      </c>
      <c r="O35" s="543"/>
      <c r="P35" s="544"/>
    </row>
    <row r="36" spans="1:27" x14ac:dyDescent="0.3">
      <c r="A36" s="530">
        <v>29</v>
      </c>
      <c r="B36" s="564">
        <f t="shared" ref="B36:B59" si="9">B35+1</f>
        <v>28</v>
      </c>
      <c r="C36" s="71">
        <f t="shared" si="0"/>
        <v>0</v>
      </c>
      <c r="D36" s="69">
        <f t="shared" si="4"/>
        <v>0</v>
      </c>
      <c r="E36" s="69">
        <f t="shared" si="5"/>
        <v>0</v>
      </c>
      <c r="F36" s="245">
        <f t="shared" si="6"/>
        <v>0</v>
      </c>
      <c r="G36" s="570"/>
      <c r="H36" s="246">
        <f>fbreedrate*IF(AND(B36&gt;='Mit-SumHabPrt'!$C$4, B36&lt;'Mit-SumHabPrt'!$C$5),'Mit-SumHabPrt'!$C$19,0)</f>
        <v>0</v>
      </c>
      <c r="I36" s="247">
        <f>IF(AND(B36&gt;='Mit-WinHabPrt'!$C$4,B36&lt;'Mit-WinHabPrt'!$C$5),'Mit-WinHabPrt'!$C$20/('Mit-WinHabPrt'!$C$5-'Mit-WinHabPrt'!$C$4),0)</f>
        <v>0</v>
      </c>
      <c r="J36" s="248">
        <f>fbreedrate*IF(AND(B36&gt;='Mit-SumHabRst'!$C$4,B36&lt;'Mit-SumHabRst'!$C$5),VLOOKUP(B36,'Mit-SumHabRst'!$W$37:$Z$136,4),0)</f>
        <v>0</v>
      </c>
      <c r="K36" s="240">
        <f t="shared" si="1"/>
        <v>0</v>
      </c>
      <c r="L36" s="64">
        <f t="shared" si="2"/>
        <v>0</v>
      </c>
      <c r="M36" s="63">
        <f t="shared" si="3"/>
        <v>0</v>
      </c>
      <c r="N36" s="238">
        <f t="shared" si="7"/>
        <v>0</v>
      </c>
      <c r="O36" s="543"/>
      <c r="P36" s="544"/>
    </row>
    <row r="37" spans="1:27" x14ac:dyDescent="0.3">
      <c r="A37" s="530">
        <v>30</v>
      </c>
      <c r="B37" s="564">
        <f t="shared" si="9"/>
        <v>29</v>
      </c>
      <c r="C37" s="71">
        <f t="shared" si="0"/>
        <v>0</v>
      </c>
      <c r="D37" s="69">
        <f t="shared" si="4"/>
        <v>0</v>
      </c>
      <c r="E37" s="69">
        <f t="shared" si="5"/>
        <v>0</v>
      </c>
      <c r="F37" s="245">
        <f t="shared" si="6"/>
        <v>0</v>
      </c>
      <c r="G37" s="570"/>
      <c r="H37" s="246">
        <f>fbreedrate*IF(AND(B37&gt;='Mit-SumHabPrt'!$C$4, B37&lt;'Mit-SumHabPrt'!$C$5),'Mit-SumHabPrt'!$C$19,0)</f>
        <v>0</v>
      </c>
      <c r="I37" s="247">
        <f>IF(AND(B37&gt;='Mit-WinHabPrt'!$C$4,B37&lt;'Mit-WinHabPrt'!$C$5),'Mit-WinHabPrt'!$C$20/('Mit-WinHabPrt'!$C$5-'Mit-WinHabPrt'!$C$4),0)</f>
        <v>0</v>
      </c>
      <c r="J37" s="248">
        <f>fbreedrate*IF(AND(B37&gt;='Mit-SumHabRst'!$C$4,B37&lt;'Mit-SumHabRst'!$C$5),VLOOKUP(B37,'Mit-SumHabRst'!$W$37:$Z$136,4),0)</f>
        <v>0</v>
      </c>
      <c r="K37" s="240">
        <f t="shared" si="1"/>
        <v>0</v>
      </c>
      <c r="L37" s="64">
        <f t="shared" si="2"/>
        <v>0</v>
      </c>
      <c r="M37" s="63">
        <f t="shared" si="3"/>
        <v>0</v>
      </c>
      <c r="N37" s="238">
        <f t="shared" si="7"/>
        <v>0</v>
      </c>
      <c r="O37" s="543"/>
      <c r="P37" s="544"/>
    </row>
    <row r="38" spans="1:27" x14ac:dyDescent="0.3">
      <c r="A38" s="530">
        <v>31</v>
      </c>
      <c r="B38" s="564">
        <f t="shared" si="9"/>
        <v>30</v>
      </c>
      <c r="C38" s="71">
        <f t="shared" si="0"/>
        <v>0</v>
      </c>
      <c r="D38" s="69">
        <f t="shared" si="4"/>
        <v>0</v>
      </c>
      <c r="E38" s="69">
        <f t="shared" si="5"/>
        <v>0</v>
      </c>
      <c r="F38" s="245">
        <f t="shared" si="6"/>
        <v>0</v>
      </c>
      <c r="G38" s="570"/>
      <c r="H38" s="246">
        <f>fbreedrate*IF(AND(B38&gt;='Mit-SumHabPrt'!$C$4, B38&lt;'Mit-SumHabPrt'!$C$5),'Mit-SumHabPrt'!$C$19,0)</f>
        <v>0</v>
      </c>
      <c r="I38" s="247">
        <f>IF(AND(B38&gt;='Mit-WinHabPrt'!$C$4,B38&lt;'Mit-WinHabPrt'!$C$5),'Mit-WinHabPrt'!$C$20/('Mit-WinHabPrt'!$C$5-'Mit-WinHabPrt'!$C$4),0)</f>
        <v>0</v>
      </c>
      <c r="J38" s="248">
        <f>fbreedrate*IF(AND(B38&gt;='Mit-SumHabRst'!$C$4,B38&lt;'Mit-SumHabRst'!$C$5),VLOOKUP(B38,'Mit-SumHabRst'!$W$37:$Z$136,4),0)</f>
        <v>0</v>
      </c>
      <c r="K38" s="240">
        <f t="shared" si="1"/>
        <v>0</v>
      </c>
      <c r="L38" s="64">
        <f t="shared" si="2"/>
        <v>0</v>
      </c>
      <c r="M38" s="63">
        <f t="shared" si="3"/>
        <v>0</v>
      </c>
      <c r="N38" s="238">
        <f t="shared" si="7"/>
        <v>0</v>
      </c>
      <c r="O38" s="543"/>
      <c r="P38" s="544"/>
    </row>
    <row r="39" spans="1:27" x14ac:dyDescent="0.3">
      <c r="A39" s="530">
        <v>32</v>
      </c>
      <c r="B39" s="564">
        <f t="shared" si="9"/>
        <v>31</v>
      </c>
      <c r="C39" s="71">
        <f t="shared" si="0"/>
        <v>0</v>
      </c>
      <c r="D39" s="69">
        <f t="shared" si="4"/>
        <v>0</v>
      </c>
      <c r="E39" s="69">
        <f t="shared" si="5"/>
        <v>0</v>
      </c>
      <c r="F39" s="245">
        <f t="shared" si="6"/>
        <v>0</v>
      </c>
      <c r="G39" s="570"/>
      <c r="H39" s="246">
        <f>fbreedrate*IF(AND(B39&gt;='Mit-SumHabPrt'!$C$4, B39&lt;'Mit-SumHabPrt'!$C$5),'Mit-SumHabPrt'!$C$19,0)</f>
        <v>0</v>
      </c>
      <c r="I39" s="247">
        <f>IF(AND(B39&gt;='Mit-WinHabPrt'!$C$4,B39&lt;'Mit-WinHabPrt'!$C$5),'Mit-WinHabPrt'!$C$20/('Mit-WinHabPrt'!$C$5-'Mit-WinHabPrt'!$C$4),0)</f>
        <v>0</v>
      </c>
      <c r="J39" s="248">
        <f>fbreedrate*IF(AND(B39&gt;='Mit-SumHabRst'!$C$4,B39&lt;'Mit-SumHabRst'!$C$5),VLOOKUP(B39,'Mit-SumHabRst'!$W$37:$Z$136,4),0)</f>
        <v>0</v>
      </c>
      <c r="K39" s="240">
        <f t="shared" si="1"/>
        <v>0</v>
      </c>
      <c r="L39" s="64">
        <f t="shared" si="2"/>
        <v>0</v>
      </c>
      <c r="M39" s="63">
        <f t="shared" si="3"/>
        <v>0</v>
      </c>
      <c r="N39" s="238">
        <f t="shared" si="7"/>
        <v>0</v>
      </c>
      <c r="O39" s="543"/>
      <c r="P39" s="544"/>
    </row>
    <row r="40" spans="1:27" x14ac:dyDescent="0.3">
      <c r="A40" s="530">
        <v>33</v>
      </c>
      <c r="B40" s="564">
        <f t="shared" si="9"/>
        <v>32</v>
      </c>
      <c r="C40" s="71">
        <f t="shared" ref="C40:C59" si="10">IF(B40&gt;=endyr,0,injpop)</f>
        <v>0</v>
      </c>
      <c r="D40" s="69">
        <f t="shared" ref="D40:D59" si="11">C40*firstgen</f>
        <v>0</v>
      </c>
      <c r="E40" s="69">
        <f t="shared" ref="E40:E59" si="12">C40*secondgen</f>
        <v>0</v>
      </c>
      <c r="F40" s="245">
        <f t="shared" si="6"/>
        <v>0</v>
      </c>
      <c r="G40" s="570"/>
      <c r="H40" s="246">
        <f>fbreedrate*IF(AND(B40&gt;='Mit-SumHabPrt'!$C$4, B40&lt;'Mit-SumHabPrt'!$C$5),'Mit-SumHabPrt'!$C$19,0)</f>
        <v>0</v>
      </c>
      <c r="I40" s="247">
        <f>IF(AND(B40&gt;='Mit-WinHabPrt'!$C$4,B40&lt;'Mit-WinHabPrt'!$C$5),'Mit-WinHabPrt'!$C$20/('Mit-WinHabPrt'!$C$5-'Mit-WinHabPrt'!$C$4),0)</f>
        <v>0</v>
      </c>
      <c r="J40" s="248">
        <f>fbreedrate*IF(AND(B40&gt;='Mit-SumHabRst'!$C$4,B40&lt;'Mit-SumHabRst'!$C$5),VLOOKUP(B40,'Mit-SumHabRst'!$W$37:$Z$136,4),0)</f>
        <v>0</v>
      </c>
      <c r="K40" s="240">
        <f t="shared" ref="K40:K59" si="13">SUM(H40,I40,J40)</f>
        <v>0</v>
      </c>
      <c r="L40" s="64">
        <f t="shared" ref="L40:L59" si="14">K40*firstgenfull</f>
        <v>0</v>
      </c>
      <c r="M40" s="63">
        <f t="shared" ref="M40:M59" si="15">K40*secondgenfull</f>
        <v>0</v>
      </c>
      <c r="N40" s="238">
        <f t="shared" si="7"/>
        <v>0</v>
      </c>
      <c r="O40" s="543"/>
      <c r="P40" s="544"/>
    </row>
    <row r="41" spans="1:27" x14ac:dyDescent="0.3">
      <c r="A41" s="530">
        <v>34</v>
      </c>
      <c r="B41" s="564">
        <f t="shared" si="9"/>
        <v>33</v>
      </c>
      <c r="C41" s="71">
        <f t="shared" si="10"/>
        <v>0</v>
      </c>
      <c r="D41" s="69">
        <f t="shared" si="11"/>
        <v>0</v>
      </c>
      <c r="E41" s="69">
        <f t="shared" si="12"/>
        <v>0</v>
      </c>
      <c r="F41" s="245">
        <f t="shared" si="6"/>
        <v>0</v>
      </c>
      <c r="G41" s="570"/>
      <c r="H41" s="246">
        <f>fbreedrate*IF(AND(B41&gt;='Mit-SumHabPrt'!$C$4, B41&lt;'Mit-SumHabPrt'!$C$5),'Mit-SumHabPrt'!$C$19,0)</f>
        <v>0</v>
      </c>
      <c r="I41" s="247">
        <f>IF(AND(B41&gt;='Mit-WinHabPrt'!$C$4,B41&lt;'Mit-WinHabPrt'!$C$5),'Mit-WinHabPrt'!$C$20/('Mit-WinHabPrt'!$C$5-'Mit-WinHabPrt'!$C$4),0)</f>
        <v>0</v>
      </c>
      <c r="J41" s="248">
        <f>fbreedrate*IF(AND(B41&gt;='Mit-SumHabRst'!$C$4,B41&lt;'Mit-SumHabRst'!$C$5),VLOOKUP(B41,'Mit-SumHabRst'!$W$37:$Z$136,4),0)</f>
        <v>0</v>
      </c>
      <c r="K41" s="240">
        <f t="shared" si="13"/>
        <v>0</v>
      </c>
      <c r="L41" s="64">
        <f t="shared" si="14"/>
        <v>0</v>
      </c>
      <c r="M41" s="63">
        <f t="shared" si="15"/>
        <v>0</v>
      </c>
      <c r="N41" s="238">
        <f t="shared" si="7"/>
        <v>0</v>
      </c>
      <c r="O41" s="543"/>
      <c r="P41" s="544"/>
    </row>
    <row r="42" spans="1:27" x14ac:dyDescent="0.3">
      <c r="A42" s="530">
        <v>35</v>
      </c>
      <c r="B42" s="564">
        <f t="shared" si="9"/>
        <v>34</v>
      </c>
      <c r="C42" s="71">
        <f t="shared" si="10"/>
        <v>0</v>
      </c>
      <c r="D42" s="69">
        <f t="shared" si="11"/>
        <v>0</v>
      </c>
      <c r="E42" s="69">
        <f t="shared" si="12"/>
        <v>0</v>
      </c>
      <c r="F42" s="245">
        <f t="shared" si="6"/>
        <v>0</v>
      </c>
      <c r="G42" s="570"/>
      <c r="H42" s="246">
        <f>fbreedrate*IF(AND(B42&gt;='Mit-SumHabPrt'!$C$4, B42&lt;'Mit-SumHabPrt'!$C$5),'Mit-SumHabPrt'!$C$19,0)</f>
        <v>0</v>
      </c>
      <c r="I42" s="247">
        <f>IF(AND(B42&gt;='Mit-WinHabPrt'!$C$4,B42&lt;'Mit-WinHabPrt'!$C$5),'Mit-WinHabPrt'!$C$20/('Mit-WinHabPrt'!$C$5-'Mit-WinHabPrt'!$C$4),0)</f>
        <v>0</v>
      </c>
      <c r="J42" s="248">
        <f>fbreedrate*IF(AND(B42&gt;='Mit-SumHabRst'!$C$4,B42&lt;'Mit-SumHabRst'!$C$5),VLOOKUP(B42,'Mit-SumHabRst'!$W$37:$Z$136,4),0)</f>
        <v>0</v>
      </c>
      <c r="K42" s="240">
        <f t="shared" si="13"/>
        <v>0</v>
      </c>
      <c r="L42" s="64">
        <f t="shared" si="14"/>
        <v>0</v>
      </c>
      <c r="M42" s="63">
        <f t="shared" si="15"/>
        <v>0</v>
      </c>
      <c r="N42" s="238">
        <f t="shared" si="7"/>
        <v>0</v>
      </c>
      <c r="O42" s="543"/>
      <c r="P42" s="544"/>
    </row>
    <row r="43" spans="1:27" x14ac:dyDescent="0.3">
      <c r="A43" s="530">
        <v>36</v>
      </c>
      <c r="B43" s="564">
        <f t="shared" si="9"/>
        <v>35</v>
      </c>
      <c r="C43" s="71">
        <f t="shared" si="10"/>
        <v>0</v>
      </c>
      <c r="D43" s="69">
        <f t="shared" si="11"/>
        <v>0</v>
      </c>
      <c r="E43" s="69">
        <f t="shared" si="12"/>
        <v>0</v>
      </c>
      <c r="F43" s="245">
        <f t="shared" si="6"/>
        <v>0</v>
      </c>
      <c r="G43" s="570"/>
      <c r="H43" s="246">
        <f>fbreedrate*IF(AND(B43&gt;='Mit-SumHabPrt'!$C$4, B43&lt;'Mit-SumHabPrt'!$C$5),'Mit-SumHabPrt'!$C$19,0)</f>
        <v>0</v>
      </c>
      <c r="I43" s="247">
        <f>IF(AND(B43&gt;='Mit-WinHabPrt'!$C$4,B43&lt;'Mit-WinHabPrt'!$C$5),'Mit-WinHabPrt'!$C$20/('Mit-WinHabPrt'!$C$5-'Mit-WinHabPrt'!$C$4),0)</f>
        <v>0</v>
      </c>
      <c r="J43" s="248">
        <f>fbreedrate*IF(AND(B43&gt;='Mit-SumHabRst'!$C$4,B43&lt;'Mit-SumHabRst'!$C$5),VLOOKUP(B43,'Mit-SumHabRst'!$W$37:$Z$136,4),0)</f>
        <v>0</v>
      </c>
      <c r="K43" s="240">
        <f t="shared" si="13"/>
        <v>0</v>
      </c>
      <c r="L43" s="64">
        <f t="shared" si="14"/>
        <v>0</v>
      </c>
      <c r="M43" s="63">
        <f t="shared" si="15"/>
        <v>0</v>
      </c>
      <c r="N43" s="238">
        <f t="shared" si="7"/>
        <v>0</v>
      </c>
      <c r="O43" s="543"/>
      <c r="P43" s="544"/>
    </row>
    <row r="44" spans="1:27" ht="18" customHeight="1" x14ac:dyDescent="0.3">
      <c r="A44" s="530">
        <v>37</v>
      </c>
      <c r="B44" s="564">
        <f t="shared" si="9"/>
        <v>36</v>
      </c>
      <c r="C44" s="71">
        <f t="shared" si="10"/>
        <v>0</v>
      </c>
      <c r="D44" s="69">
        <f t="shared" si="11"/>
        <v>0</v>
      </c>
      <c r="E44" s="69">
        <f t="shared" si="12"/>
        <v>0</v>
      </c>
      <c r="F44" s="245">
        <f t="shared" si="6"/>
        <v>0</v>
      </c>
      <c r="G44" s="570"/>
      <c r="H44" s="246">
        <f>fbreedrate*IF(AND(B44&gt;='Mit-SumHabPrt'!$C$4, B44&lt;'Mit-SumHabPrt'!$C$5),'Mit-SumHabPrt'!$C$19,0)</f>
        <v>0</v>
      </c>
      <c r="I44" s="247">
        <f>IF(AND(B44&gt;='Mit-WinHabPrt'!$C$4,B44&lt;'Mit-WinHabPrt'!$C$5),'Mit-WinHabPrt'!$C$20/('Mit-WinHabPrt'!$C$5-'Mit-WinHabPrt'!$C$4),0)</f>
        <v>0</v>
      </c>
      <c r="J44" s="248">
        <f>fbreedrate*IF(AND(B44&gt;='Mit-SumHabRst'!$C$4,B44&lt;'Mit-SumHabRst'!$C$5),VLOOKUP(B44,'Mit-SumHabRst'!$W$37:$Z$136,4),0)</f>
        <v>0</v>
      </c>
      <c r="K44" s="240">
        <f t="shared" si="13"/>
        <v>0</v>
      </c>
      <c r="L44" s="64">
        <f t="shared" si="14"/>
        <v>0</v>
      </c>
      <c r="M44" s="63">
        <f t="shared" si="15"/>
        <v>0</v>
      </c>
      <c r="N44" s="238">
        <f t="shared" si="7"/>
        <v>0</v>
      </c>
      <c r="O44" s="543"/>
      <c r="P44" s="544"/>
    </row>
    <row r="45" spans="1:27" x14ac:dyDescent="0.3">
      <c r="A45" s="530">
        <v>38</v>
      </c>
      <c r="B45" s="564">
        <f t="shared" si="9"/>
        <v>37</v>
      </c>
      <c r="C45" s="71">
        <f t="shared" si="10"/>
        <v>0</v>
      </c>
      <c r="D45" s="69">
        <f t="shared" si="11"/>
        <v>0</v>
      </c>
      <c r="E45" s="69">
        <f t="shared" si="12"/>
        <v>0</v>
      </c>
      <c r="F45" s="245">
        <f t="shared" si="6"/>
        <v>0</v>
      </c>
      <c r="G45" s="570"/>
      <c r="H45" s="246">
        <f>fbreedrate*IF(AND(B45&gt;='Mit-SumHabPrt'!$C$4, B45&lt;'Mit-SumHabPrt'!$C$5),'Mit-SumHabPrt'!$C$19,0)</f>
        <v>0</v>
      </c>
      <c r="I45" s="247">
        <f>IF(AND(B45&gt;='Mit-WinHabPrt'!$C$4,B45&lt;'Mit-WinHabPrt'!$C$5),'Mit-WinHabPrt'!$C$20/('Mit-WinHabPrt'!$C$5-'Mit-WinHabPrt'!$C$4),0)</f>
        <v>0</v>
      </c>
      <c r="J45" s="248">
        <f>fbreedrate*IF(AND(B45&gt;='Mit-SumHabRst'!$C$4,B45&lt;'Mit-SumHabRst'!$C$5),VLOOKUP(B45,'Mit-SumHabRst'!$W$37:$Z$136,4),0)</f>
        <v>0</v>
      </c>
      <c r="K45" s="240">
        <f t="shared" si="13"/>
        <v>0</v>
      </c>
      <c r="L45" s="64">
        <f t="shared" si="14"/>
        <v>0</v>
      </c>
      <c r="M45" s="63">
        <f t="shared" si="15"/>
        <v>0</v>
      </c>
      <c r="N45" s="238">
        <f t="shared" si="7"/>
        <v>0</v>
      </c>
      <c r="O45" s="543"/>
      <c r="P45" s="544"/>
    </row>
    <row r="46" spans="1:27" x14ac:dyDescent="0.3">
      <c r="A46" s="530">
        <v>39</v>
      </c>
      <c r="B46" s="564">
        <f t="shared" si="9"/>
        <v>38</v>
      </c>
      <c r="C46" s="71">
        <f t="shared" si="10"/>
        <v>0</v>
      </c>
      <c r="D46" s="69">
        <f t="shared" si="11"/>
        <v>0</v>
      </c>
      <c r="E46" s="69">
        <f t="shared" si="12"/>
        <v>0</v>
      </c>
      <c r="F46" s="245">
        <f t="shared" si="6"/>
        <v>0</v>
      </c>
      <c r="G46" s="570"/>
      <c r="H46" s="246">
        <f>fbreedrate*IF(AND(B46&gt;='Mit-SumHabPrt'!$C$4, B46&lt;'Mit-SumHabPrt'!$C$5),'Mit-SumHabPrt'!$C$19,0)</f>
        <v>0</v>
      </c>
      <c r="I46" s="247">
        <f>IF(AND(B46&gt;='Mit-WinHabPrt'!$C$4,B46&lt;'Mit-WinHabPrt'!$C$5),'Mit-WinHabPrt'!$C$20/('Mit-WinHabPrt'!$C$5-'Mit-WinHabPrt'!$C$4),0)</f>
        <v>0</v>
      </c>
      <c r="J46" s="248">
        <f>fbreedrate*IF(AND(B46&gt;='Mit-SumHabRst'!$C$4,B46&lt;'Mit-SumHabRst'!$C$5),VLOOKUP(B46,'Mit-SumHabRst'!$W$37:$Z$136,4),0)</f>
        <v>0</v>
      </c>
      <c r="K46" s="240">
        <f t="shared" si="13"/>
        <v>0</v>
      </c>
      <c r="L46" s="64">
        <f t="shared" si="14"/>
        <v>0</v>
      </c>
      <c r="M46" s="63">
        <f t="shared" si="15"/>
        <v>0</v>
      </c>
      <c r="N46" s="238">
        <f t="shared" si="7"/>
        <v>0</v>
      </c>
      <c r="O46" s="543"/>
      <c r="P46" s="544"/>
    </row>
    <row r="47" spans="1:27" x14ac:dyDescent="0.3">
      <c r="A47" s="530">
        <v>40</v>
      </c>
      <c r="B47" s="564">
        <f t="shared" si="9"/>
        <v>39</v>
      </c>
      <c r="C47" s="71">
        <f t="shared" si="10"/>
        <v>0</v>
      </c>
      <c r="D47" s="69">
        <f t="shared" si="11"/>
        <v>0</v>
      </c>
      <c r="E47" s="69">
        <f t="shared" si="12"/>
        <v>0</v>
      </c>
      <c r="F47" s="245">
        <f t="shared" si="6"/>
        <v>0</v>
      </c>
      <c r="G47" s="570"/>
      <c r="H47" s="246">
        <f>fbreedrate*IF(AND(B47&gt;='Mit-SumHabPrt'!$C$4, B47&lt;'Mit-SumHabPrt'!$C$5),'Mit-SumHabPrt'!$C$19,0)</f>
        <v>0</v>
      </c>
      <c r="I47" s="247">
        <f>IF(AND(B47&gt;='Mit-WinHabPrt'!$C$4,B47&lt;'Mit-WinHabPrt'!$C$5),'Mit-WinHabPrt'!$C$20/('Mit-WinHabPrt'!$C$5-'Mit-WinHabPrt'!$C$4),0)</f>
        <v>0</v>
      </c>
      <c r="J47" s="248">
        <f>fbreedrate*IF(AND(B47&gt;='Mit-SumHabRst'!$C$4,B47&lt;'Mit-SumHabRst'!$C$5),VLOOKUP(B47,'Mit-SumHabRst'!$W$37:$Z$136,4),0)</f>
        <v>0</v>
      </c>
      <c r="K47" s="240">
        <f t="shared" si="13"/>
        <v>0</v>
      </c>
      <c r="L47" s="64">
        <f t="shared" si="14"/>
        <v>0</v>
      </c>
      <c r="M47" s="63">
        <f t="shared" si="15"/>
        <v>0</v>
      </c>
      <c r="N47" s="238">
        <f t="shared" si="7"/>
        <v>0</v>
      </c>
      <c r="O47" s="543"/>
      <c r="P47" s="544"/>
    </row>
    <row r="48" spans="1:27" x14ac:dyDescent="0.3">
      <c r="A48" s="530">
        <v>41</v>
      </c>
      <c r="B48" s="564">
        <f t="shared" si="9"/>
        <v>40</v>
      </c>
      <c r="C48" s="71">
        <f t="shared" si="10"/>
        <v>0</v>
      </c>
      <c r="D48" s="69">
        <f t="shared" si="11"/>
        <v>0</v>
      </c>
      <c r="E48" s="69">
        <f t="shared" si="12"/>
        <v>0</v>
      </c>
      <c r="F48" s="245">
        <f t="shared" si="6"/>
        <v>0</v>
      </c>
      <c r="G48" s="570"/>
      <c r="H48" s="246">
        <f>fbreedrate*IF(AND(B48&gt;='Mit-SumHabPrt'!$C$4, B48&lt;'Mit-SumHabPrt'!$C$5),'Mit-SumHabPrt'!$C$19,0)</f>
        <v>0</v>
      </c>
      <c r="I48" s="247">
        <f>IF(AND(B48&gt;='Mit-WinHabPrt'!$C$4,B48&lt;'Mit-WinHabPrt'!$C$5),'Mit-WinHabPrt'!$C$20/('Mit-WinHabPrt'!$C$5-'Mit-WinHabPrt'!$C$4),0)</f>
        <v>0</v>
      </c>
      <c r="J48" s="248">
        <f>fbreedrate*IF(AND(B48&gt;='Mit-SumHabRst'!$C$4,B48&lt;'Mit-SumHabRst'!$C$5),VLOOKUP(B48,'Mit-SumHabRst'!$W$37:$Z$136,4),0)</f>
        <v>0</v>
      </c>
      <c r="K48" s="240">
        <f t="shared" si="13"/>
        <v>0</v>
      </c>
      <c r="L48" s="64">
        <f t="shared" si="14"/>
        <v>0</v>
      </c>
      <c r="M48" s="63">
        <f t="shared" si="15"/>
        <v>0</v>
      </c>
      <c r="N48" s="238">
        <f t="shared" si="7"/>
        <v>0</v>
      </c>
      <c r="O48" s="543"/>
      <c r="P48" s="544"/>
    </row>
    <row r="49" spans="1:16" x14ac:dyDescent="0.3">
      <c r="A49" s="530">
        <v>42</v>
      </c>
      <c r="B49" s="564">
        <f t="shared" si="9"/>
        <v>41</v>
      </c>
      <c r="C49" s="71">
        <f t="shared" si="10"/>
        <v>0</v>
      </c>
      <c r="D49" s="69">
        <f t="shared" si="11"/>
        <v>0</v>
      </c>
      <c r="E49" s="69">
        <f t="shared" si="12"/>
        <v>0</v>
      </c>
      <c r="F49" s="245">
        <f t="shared" si="6"/>
        <v>0</v>
      </c>
      <c r="G49" s="570"/>
      <c r="H49" s="246">
        <f>fbreedrate*IF(AND(B49&gt;='Mit-SumHabPrt'!$C$4, B49&lt;'Mit-SumHabPrt'!$C$5),'Mit-SumHabPrt'!$C$19,0)</f>
        <v>0</v>
      </c>
      <c r="I49" s="247">
        <f>IF(AND(B49&gt;='Mit-WinHabPrt'!$C$4,B49&lt;'Mit-WinHabPrt'!$C$5),'Mit-WinHabPrt'!$C$20/('Mit-WinHabPrt'!$C$5-'Mit-WinHabPrt'!$C$4),0)</f>
        <v>0</v>
      </c>
      <c r="J49" s="248">
        <f>fbreedrate*IF(AND(B49&gt;='Mit-SumHabRst'!$C$4,B49&lt;'Mit-SumHabRst'!$C$5),VLOOKUP(B49,'Mit-SumHabRst'!$W$37:$Z$136,4),0)</f>
        <v>0</v>
      </c>
      <c r="K49" s="240">
        <f t="shared" si="13"/>
        <v>0</v>
      </c>
      <c r="L49" s="64">
        <f t="shared" si="14"/>
        <v>0</v>
      </c>
      <c r="M49" s="63">
        <f t="shared" si="15"/>
        <v>0</v>
      </c>
      <c r="N49" s="238">
        <f t="shared" si="7"/>
        <v>0</v>
      </c>
      <c r="O49" s="543"/>
      <c r="P49" s="544"/>
    </row>
    <row r="50" spans="1:16" x14ac:dyDescent="0.3">
      <c r="A50" s="530">
        <v>43</v>
      </c>
      <c r="B50" s="564">
        <f t="shared" si="9"/>
        <v>42</v>
      </c>
      <c r="C50" s="71">
        <f t="shared" si="10"/>
        <v>0</v>
      </c>
      <c r="D50" s="69">
        <f t="shared" si="11"/>
        <v>0</v>
      </c>
      <c r="E50" s="69">
        <f t="shared" si="12"/>
        <v>0</v>
      </c>
      <c r="F50" s="245">
        <f t="shared" si="6"/>
        <v>0</v>
      </c>
      <c r="G50" s="570"/>
      <c r="H50" s="246">
        <f>fbreedrate*IF(AND(B50&gt;='Mit-SumHabPrt'!$C$4, B50&lt;'Mit-SumHabPrt'!$C$5),'Mit-SumHabPrt'!$C$19,0)</f>
        <v>0</v>
      </c>
      <c r="I50" s="247">
        <f>IF(AND(B50&gt;='Mit-WinHabPrt'!$C$4,B50&lt;'Mit-WinHabPrt'!$C$5),'Mit-WinHabPrt'!$C$20/('Mit-WinHabPrt'!$C$5-'Mit-WinHabPrt'!$C$4),0)</f>
        <v>0</v>
      </c>
      <c r="J50" s="248">
        <f>fbreedrate*IF(AND(B50&gt;='Mit-SumHabRst'!$C$4,B50&lt;'Mit-SumHabRst'!$C$5),VLOOKUP(B50,'Mit-SumHabRst'!$W$37:$Z$136,4),0)</f>
        <v>0</v>
      </c>
      <c r="K50" s="240">
        <f t="shared" si="13"/>
        <v>0</v>
      </c>
      <c r="L50" s="64">
        <f t="shared" si="14"/>
        <v>0</v>
      </c>
      <c r="M50" s="63">
        <f t="shared" si="15"/>
        <v>0</v>
      </c>
      <c r="N50" s="238">
        <f t="shared" si="7"/>
        <v>0</v>
      </c>
      <c r="O50" s="543"/>
      <c r="P50" s="544"/>
    </row>
    <row r="51" spans="1:16" x14ac:dyDescent="0.3">
      <c r="A51" s="530">
        <v>44</v>
      </c>
      <c r="B51" s="564">
        <f t="shared" si="9"/>
        <v>43</v>
      </c>
      <c r="C51" s="71">
        <f t="shared" si="10"/>
        <v>0</v>
      </c>
      <c r="D51" s="69">
        <f t="shared" si="11"/>
        <v>0</v>
      </c>
      <c r="E51" s="69">
        <f t="shared" si="12"/>
        <v>0</v>
      </c>
      <c r="F51" s="245">
        <f t="shared" si="6"/>
        <v>0</v>
      </c>
      <c r="G51" s="570"/>
      <c r="H51" s="246">
        <f>fbreedrate*IF(AND(B51&gt;='Mit-SumHabPrt'!$C$4, B51&lt;'Mit-SumHabPrt'!$C$5),'Mit-SumHabPrt'!$C$19,0)</f>
        <v>0</v>
      </c>
      <c r="I51" s="247">
        <f>IF(AND(B51&gt;='Mit-WinHabPrt'!$C$4,B51&lt;'Mit-WinHabPrt'!$C$5),'Mit-WinHabPrt'!$C$20/('Mit-WinHabPrt'!$C$5-'Mit-WinHabPrt'!$C$4),0)</f>
        <v>0</v>
      </c>
      <c r="J51" s="248">
        <f>fbreedrate*IF(AND(B51&gt;='Mit-SumHabRst'!$C$4,B51&lt;'Mit-SumHabRst'!$C$5),VLOOKUP(B51,'Mit-SumHabRst'!$W$37:$Z$136,4),0)</f>
        <v>0</v>
      </c>
      <c r="K51" s="240">
        <f t="shared" si="13"/>
        <v>0</v>
      </c>
      <c r="L51" s="64">
        <f t="shared" si="14"/>
        <v>0</v>
      </c>
      <c r="M51" s="63">
        <f t="shared" si="15"/>
        <v>0</v>
      </c>
      <c r="N51" s="238">
        <f t="shared" si="7"/>
        <v>0</v>
      </c>
      <c r="O51" s="543"/>
      <c r="P51" s="544"/>
    </row>
    <row r="52" spans="1:16" x14ac:dyDescent="0.3">
      <c r="A52" s="530">
        <v>45</v>
      </c>
      <c r="B52" s="564">
        <f t="shared" si="9"/>
        <v>44</v>
      </c>
      <c r="C52" s="71">
        <f t="shared" si="10"/>
        <v>0</v>
      </c>
      <c r="D52" s="69">
        <f t="shared" si="11"/>
        <v>0</v>
      </c>
      <c r="E52" s="69">
        <f t="shared" si="12"/>
        <v>0</v>
      </c>
      <c r="F52" s="245">
        <f t="shared" si="6"/>
        <v>0</v>
      </c>
      <c r="G52" s="570"/>
      <c r="H52" s="246">
        <f>fbreedrate*IF(AND(B52&gt;='Mit-SumHabPrt'!$C$4, B52&lt;'Mit-SumHabPrt'!$C$5),'Mit-SumHabPrt'!$C$19,0)</f>
        <v>0</v>
      </c>
      <c r="I52" s="247">
        <f>IF(AND(B52&gt;='Mit-WinHabPrt'!$C$4,B52&lt;'Mit-WinHabPrt'!$C$5),'Mit-WinHabPrt'!$C$20/('Mit-WinHabPrt'!$C$5-'Mit-WinHabPrt'!$C$4),0)</f>
        <v>0</v>
      </c>
      <c r="J52" s="248">
        <f>fbreedrate*IF(AND(B52&gt;='Mit-SumHabRst'!$C$4,B52&lt;'Mit-SumHabRst'!$C$5),VLOOKUP(B52,'Mit-SumHabRst'!$W$37:$Z$136,4),0)</f>
        <v>0</v>
      </c>
      <c r="K52" s="240">
        <f t="shared" si="13"/>
        <v>0</v>
      </c>
      <c r="L52" s="64">
        <f t="shared" si="14"/>
        <v>0</v>
      </c>
      <c r="M52" s="63">
        <f t="shared" si="15"/>
        <v>0</v>
      </c>
      <c r="N52" s="238">
        <f t="shared" si="7"/>
        <v>0</v>
      </c>
      <c r="O52" s="543"/>
      <c r="P52" s="544"/>
    </row>
    <row r="53" spans="1:16" x14ac:dyDescent="0.3">
      <c r="A53" s="530">
        <v>46</v>
      </c>
      <c r="B53" s="564">
        <f t="shared" si="9"/>
        <v>45</v>
      </c>
      <c r="C53" s="71">
        <f t="shared" si="10"/>
        <v>0</v>
      </c>
      <c r="D53" s="69">
        <f t="shared" si="11"/>
        <v>0</v>
      </c>
      <c r="E53" s="69">
        <f t="shared" si="12"/>
        <v>0</v>
      </c>
      <c r="F53" s="245">
        <f t="shared" si="6"/>
        <v>0</v>
      </c>
      <c r="G53" s="570"/>
      <c r="H53" s="246">
        <f>fbreedrate*IF(AND(B53&gt;='Mit-SumHabPrt'!$C$4, B53&lt;'Mit-SumHabPrt'!$C$5),'Mit-SumHabPrt'!$C$19,0)</f>
        <v>0</v>
      </c>
      <c r="I53" s="247">
        <f>IF(AND(B53&gt;='Mit-WinHabPrt'!$C$4,B53&lt;'Mit-WinHabPrt'!$C$5),'Mit-WinHabPrt'!$C$20/('Mit-WinHabPrt'!$C$5-'Mit-WinHabPrt'!$C$4),0)</f>
        <v>0</v>
      </c>
      <c r="J53" s="248">
        <f>fbreedrate*IF(AND(B53&gt;='Mit-SumHabRst'!$C$4,B53&lt;'Mit-SumHabRst'!$C$5),VLOOKUP(B53,'Mit-SumHabRst'!$W$37:$Z$136,4),0)</f>
        <v>0</v>
      </c>
      <c r="K53" s="240">
        <f t="shared" si="13"/>
        <v>0</v>
      </c>
      <c r="L53" s="64">
        <f t="shared" si="14"/>
        <v>0</v>
      </c>
      <c r="M53" s="63">
        <f t="shared" si="15"/>
        <v>0</v>
      </c>
      <c r="N53" s="238">
        <f t="shared" si="7"/>
        <v>0</v>
      </c>
      <c r="O53" s="543"/>
      <c r="P53" s="544"/>
    </row>
    <row r="54" spans="1:16" x14ac:dyDescent="0.3">
      <c r="A54" s="530">
        <v>47</v>
      </c>
      <c r="B54" s="564">
        <f t="shared" si="9"/>
        <v>46</v>
      </c>
      <c r="C54" s="71">
        <f t="shared" si="10"/>
        <v>0</v>
      </c>
      <c r="D54" s="69">
        <f t="shared" si="11"/>
        <v>0</v>
      </c>
      <c r="E54" s="69">
        <f t="shared" si="12"/>
        <v>0</v>
      </c>
      <c r="F54" s="245">
        <f t="shared" si="6"/>
        <v>0</v>
      </c>
      <c r="G54" s="570"/>
      <c r="H54" s="246">
        <f>fbreedrate*IF(AND(B54&gt;='Mit-SumHabPrt'!$C$4, B54&lt;'Mit-SumHabPrt'!$C$5),'Mit-SumHabPrt'!$C$19,0)</f>
        <v>0</v>
      </c>
      <c r="I54" s="247">
        <f>IF(AND(B54&gt;='Mit-WinHabPrt'!$C$4,B54&lt;'Mit-WinHabPrt'!$C$5),'Mit-WinHabPrt'!$C$20/('Mit-WinHabPrt'!$C$5-'Mit-WinHabPrt'!$C$4),0)</f>
        <v>0</v>
      </c>
      <c r="J54" s="248">
        <f>fbreedrate*IF(AND(B54&gt;='Mit-SumHabRst'!$C$4,B54&lt;'Mit-SumHabRst'!$C$5),VLOOKUP(B54,'Mit-SumHabRst'!$W$37:$Z$136,4),0)</f>
        <v>0</v>
      </c>
      <c r="K54" s="240">
        <f t="shared" si="13"/>
        <v>0</v>
      </c>
      <c r="L54" s="64">
        <f t="shared" si="14"/>
        <v>0</v>
      </c>
      <c r="M54" s="63">
        <f t="shared" si="15"/>
        <v>0</v>
      </c>
      <c r="N54" s="238">
        <f t="shared" si="7"/>
        <v>0</v>
      </c>
      <c r="O54" s="543"/>
      <c r="P54" s="544"/>
    </row>
    <row r="55" spans="1:16" x14ac:dyDescent="0.3">
      <c r="A55" s="530">
        <v>48</v>
      </c>
      <c r="B55" s="564">
        <f t="shared" si="9"/>
        <v>47</v>
      </c>
      <c r="C55" s="71">
        <f t="shared" si="10"/>
        <v>0</v>
      </c>
      <c r="D55" s="69">
        <f t="shared" si="11"/>
        <v>0</v>
      </c>
      <c r="E55" s="69">
        <f t="shared" si="12"/>
        <v>0</v>
      </c>
      <c r="F55" s="245">
        <f t="shared" si="6"/>
        <v>0</v>
      </c>
      <c r="G55" s="570"/>
      <c r="H55" s="246">
        <f>fbreedrate*IF(AND(B55&gt;='Mit-SumHabPrt'!$C$4, B55&lt;'Mit-SumHabPrt'!$C$5),'Mit-SumHabPrt'!$C$19,0)</f>
        <v>0</v>
      </c>
      <c r="I55" s="247">
        <f>IF(AND(B55&gt;='Mit-WinHabPrt'!$C$4,B55&lt;'Mit-WinHabPrt'!$C$5),'Mit-WinHabPrt'!$C$20/('Mit-WinHabPrt'!$C$5-'Mit-WinHabPrt'!$C$4),0)</f>
        <v>0</v>
      </c>
      <c r="J55" s="248">
        <f>fbreedrate*IF(AND(B55&gt;='Mit-SumHabRst'!$C$4,B55&lt;'Mit-SumHabRst'!$C$5),VLOOKUP(B55,'Mit-SumHabRst'!$W$37:$Z$136,4),0)</f>
        <v>0</v>
      </c>
      <c r="K55" s="240">
        <f t="shared" si="13"/>
        <v>0</v>
      </c>
      <c r="L55" s="64">
        <f t="shared" si="14"/>
        <v>0</v>
      </c>
      <c r="M55" s="63">
        <f t="shared" si="15"/>
        <v>0</v>
      </c>
      <c r="N55" s="238">
        <f t="shared" si="7"/>
        <v>0</v>
      </c>
      <c r="O55" s="543"/>
      <c r="P55" s="544"/>
    </row>
    <row r="56" spans="1:16" x14ac:dyDescent="0.3">
      <c r="A56" s="530">
        <v>49</v>
      </c>
      <c r="B56" s="564">
        <f t="shared" si="9"/>
        <v>48</v>
      </c>
      <c r="C56" s="71">
        <f t="shared" si="10"/>
        <v>0</v>
      </c>
      <c r="D56" s="69">
        <f t="shared" si="11"/>
        <v>0</v>
      </c>
      <c r="E56" s="69">
        <f t="shared" si="12"/>
        <v>0</v>
      </c>
      <c r="F56" s="245">
        <f t="shared" si="6"/>
        <v>0</v>
      </c>
      <c r="G56" s="570"/>
      <c r="H56" s="246">
        <f>fbreedrate*IF(AND(B56&gt;='Mit-SumHabPrt'!$C$4, B56&lt;'Mit-SumHabPrt'!$C$5),'Mit-SumHabPrt'!$C$19,0)</f>
        <v>0</v>
      </c>
      <c r="I56" s="247">
        <f>IF(AND(B56&gt;='Mit-WinHabPrt'!$C$4,B56&lt;'Mit-WinHabPrt'!$C$5),'Mit-WinHabPrt'!$C$20/('Mit-WinHabPrt'!$C$5-'Mit-WinHabPrt'!$C$4),0)</f>
        <v>0</v>
      </c>
      <c r="J56" s="248">
        <f>fbreedrate*IF(AND(B56&gt;='Mit-SumHabRst'!$C$4,B56&lt;'Mit-SumHabRst'!$C$5),VLOOKUP(B56,'Mit-SumHabRst'!$W$37:$Z$136,4),0)</f>
        <v>0</v>
      </c>
      <c r="K56" s="240">
        <f t="shared" si="13"/>
        <v>0</v>
      </c>
      <c r="L56" s="64">
        <f t="shared" si="14"/>
        <v>0</v>
      </c>
      <c r="M56" s="63">
        <f t="shared" si="15"/>
        <v>0</v>
      </c>
      <c r="N56" s="238">
        <f t="shared" si="7"/>
        <v>0</v>
      </c>
      <c r="O56" s="543"/>
      <c r="P56" s="544"/>
    </row>
    <row r="57" spans="1:16" x14ac:dyDescent="0.3">
      <c r="A57" s="530">
        <v>50</v>
      </c>
      <c r="B57" s="564">
        <f t="shared" si="9"/>
        <v>49</v>
      </c>
      <c r="C57" s="71">
        <f t="shared" si="10"/>
        <v>0</v>
      </c>
      <c r="D57" s="69">
        <f t="shared" si="11"/>
        <v>0</v>
      </c>
      <c r="E57" s="69">
        <f t="shared" si="12"/>
        <v>0</v>
      </c>
      <c r="F57" s="245">
        <f t="shared" si="6"/>
        <v>0</v>
      </c>
      <c r="G57" s="570"/>
      <c r="H57" s="246">
        <f>fbreedrate*IF(AND(B57&gt;='Mit-SumHabPrt'!$C$4, B57&lt;'Mit-SumHabPrt'!$C$5),'Mit-SumHabPrt'!$C$19,0)</f>
        <v>0</v>
      </c>
      <c r="I57" s="247">
        <f>IF(AND(B57&gt;='Mit-WinHabPrt'!$C$4,B57&lt;'Mit-WinHabPrt'!$C$5),'Mit-WinHabPrt'!$C$20/('Mit-WinHabPrt'!$C$5-'Mit-WinHabPrt'!$C$4),0)</f>
        <v>0</v>
      </c>
      <c r="J57" s="248">
        <f>fbreedrate*IF(AND(B57&gt;='Mit-SumHabRst'!$C$4,B57&lt;'Mit-SumHabRst'!$C$5),VLOOKUP(B57,'Mit-SumHabRst'!$W$37:$Z$136,4),0)</f>
        <v>0</v>
      </c>
      <c r="K57" s="240">
        <f t="shared" si="13"/>
        <v>0</v>
      </c>
      <c r="L57" s="64">
        <f t="shared" si="14"/>
        <v>0</v>
      </c>
      <c r="M57" s="63">
        <f t="shared" si="15"/>
        <v>0</v>
      </c>
      <c r="N57" s="238">
        <f t="shared" si="7"/>
        <v>0</v>
      </c>
      <c r="O57" s="543"/>
      <c r="P57" s="544"/>
    </row>
    <row r="58" spans="1:16" x14ac:dyDescent="0.3">
      <c r="A58" s="530">
        <v>51</v>
      </c>
      <c r="B58" s="564">
        <f t="shared" si="9"/>
        <v>50</v>
      </c>
      <c r="C58" s="71">
        <f t="shared" si="10"/>
        <v>0</v>
      </c>
      <c r="D58" s="69">
        <f t="shared" si="11"/>
        <v>0</v>
      </c>
      <c r="E58" s="69">
        <f t="shared" si="12"/>
        <v>0</v>
      </c>
      <c r="F58" s="245">
        <f t="shared" si="6"/>
        <v>0</v>
      </c>
      <c r="G58" s="570"/>
      <c r="H58" s="246">
        <f>fbreedrate*IF(AND(B58&gt;='Mit-SumHabPrt'!$C$4, B58&lt;'Mit-SumHabPrt'!$C$5),'Mit-SumHabPrt'!$C$19,0)</f>
        <v>0</v>
      </c>
      <c r="I58" s="247">
        <f>IF(AND(B58&gt;='Mit-WinHabPrt'!$C$4,B58&lt;'Mit-WinHabPrt'!$C$5),'Mit-WinHabPrt'!$C$20/('Mit-WinHabPrt'!$C$5-'Mit-WinHabPrt'!$C$4),0)</f>
        <v>0</v>
      </c>
      <c r="J58" s="248">
        <f>fbreedrate*IF(AND(B58&gt;='Mit-SumHabRst'!$C$4,B58&lt;'Mit-SumHabRst'!$C$5),VLOOKUP(B58,'Mit-SumHabRst'!$W$37:$Z$136,4),0)</f>
        <v>0</v>
      </c>
      <c r="K58" s="240">
        <f t="shared" si="13"/>
        <v>0</v>
      </c>
      <c r="L58" s="64">
        <f t="shared" si="14"/>
        <v>0</v>
      </c>
      <c r="M58" s="63">
        <f t="shared" si="15"/>
        <v>0</v>
      </c>
      <c r="N58" s="238">
        <f t="shared" si="7"/>
        <v>0</v>
      </c>
      <c r="O58" s="543"/>
      <c r="P58" s="544"/>
    </row>
    <row r="59" spans="1:16" x14ac:dyDescent="0.3">
      <c r="A59" s="530">
        <v>52</v>
      </c>
      <c r="B59" s="565">
        <f t="shared" si="9"/>
        <v>51</v>
      </c>
      <c r="C59" s="72">
        <f t="shared" si="10"/>
        <v>0</v>
      </c>
      <c r="D59" s="69">
        <f t="shared" si="11"/>
        <v>0</v>
      </c>
      <c r="E59" s="69">
        <f t="shared" si="12"/>
        <v>0</v>
      </c>
      <c r="F59" s="245">
        <f t="shared" si="6"/>
        <v>0</v>
      </c>
      <c r="G59" s="570"/>
      <c r="H59" s="318">
        <f>fbreedrate*IF(AND(B59&gt;='Mit-SumHabPrt'!$C$4, B59&lt;'Mit-SumHabPrt'!$C$5),'Mit-SumHabPrt'!$C$19,0)</f>
        <v>0</v>
      </c>
      <c r="I59" s="319">
        <f>IF(AND(B59&gt;='Mit-WinHabPrt'!$C$4,B59&lt;'Mit-WinHabPrt'!$C$5),'Mit-WinHabPrt'!$C$20/('Mit-WinHabPrt'!$C$5-'Mit-WinHabPrt'!$C$4),0)</f>
        <v>0</v>
      </c>
      <c r="J59" s="320">
        <f>fbreedrate*IF(AND(B59&gt;='Mit-SumHabRst'!$C$4,B59&lt;'Mit-SumHabRst'!$C$5),VLOOKUP(B59,'Mit-SumHabRst'!$W$37:$Z$136,4),0)</f>
        <v>0</v>
      </c>
      <c r="K59" s="240">
        <f t="shared" si="13"/>
        <v>0</v>
      </c>
      <c r="L59" s="65">
        <f t="shared" si="14"/>
        <v>0</v>
      </c>
      <c r="M59" s="66">
        <f t="shared" si="15"/>
        <v>0</v>
      </c>
      <c r="N59" s="239">
        <f t="shared" si="7"/>
        <v>0</v>
      </c>
      <c r="O59" s="543"/>
      <c r="P59" s="544"/>
    </row>
    <row r="60" spans="1:16" ht="16.2" thickBot="1" x14ac:dyDescent="0.35">
      <c r="B60" s="566"/>
      <c r="C60" s="73">
        <f>SUM(C8:C59)</f>
        <v>0</v>
      </c>
      <c r="D60" s="250"/>
      <c r="E60" s="251"/>
      <c r="F60" s="252">
        <f>SUM(F8:F59)</f>
        <v>0</v>
      </c>
      <c r="G60" s="571"/>
      <c r="H60" s="253">
        <f t="shared" ref="H60:I60" si="16">SUM(H8:H59)</f>
        <v>0</v>
      </c>
      <c r="I60" s="249">
        <f t="shared" si="16"/>
        <v>0</v>
      </c>
      <c r="J60" s="249">
        <f>SUM(J8:J59)</f>
        <v>0</v>
      </c>
      <c r="K60" s="316">
        <f>SUM(H60:J60)</f>
        <v>0</v>
      </c>
      <c r="L60" s="314"/>
      <c r="M60" s="315"/>
      <c r="N60" s="317">
        <f>SUM(N8:N59)</f>
        <v>0</v>
      </c>
      <c r="O60" s="574"/>
      <c r="P60" s="574"/>
    </row>
    <row r="61" spans="1:16" s="529" customFormat="1" x14ac:dyDescent="0.3">
      <c r="A61" s="530"/>
      <c r="C61" s="535"/>
      <c r="D61" s="558"/>
      <c r="F61" s="572"/>
      <c r="G61" s="572"/>
      <c r="H61" s="572"/>
      <c r="I61" s="461"/>
      <c r="O61" s="535"/>
      <c r="P61" s="575"/>
    </row>
    <row r="62" spans="1:16" s="529" customFormat="1" x14ac:dyDescent="0.3">
      <c r="A62" s="530"/>
      <c r="D62" s="558"/>
      <c r="I62" s="461"/>
      <c r="J62" s="577"/>
      <c r="L62" s="572"/>
      <c r="N62" s="572"/>
      <c r="O62" s="535"/>
      <c r="P62" s="575"/>
    </row>
    <row r="63" spans="1:16" s="529" customFormat="1" x14ac:dyDescent="0.3">
      <c r="A63" s="530"/>
      <c r="D63" s="558"/>
      <c r="F63" s="572"/>
      <c r="G63" s="572"/>
      <c r="H63" s="572"/>
      <c r="I63" s="461"/>
      <c r="O63" s="535"/>
      <c r="P63" s="535"/>
    </row>
    <row r="64" spans="1:16" s="529" customFormat="1" x14ac:dyDescent="0.3">
      <c r="A64" s="530"/>
      <c r="D64" s="558"/>
      <c r="I64" s="461"/>
    </row>
    <row r="65" spans="1:9" s="529" customFormat="1" x14ac:dyDescent="0.3">
      <c r="A65" s="530"/>
      <c r="D65" s="558"/>
      <c r="I65" s="559"/>
    </row>
    <row r="66" spans="1:9" s="529" customFormat="1" x14ac:dyDescent="0.3">
      <c r="A66" s="530"/>
      <c r="D66" s="558"/>
      <c r="I66" s="559"/>
    </row>
    <row r="67" spans="1:9" s="529" customFormat="1" x14ac:dyDescent="0.3">
      <c r="A67" s="530"/>
      <c r="D67" s="558"/>
      <c r="I67" s="559"/>
    </row>
    <row r="68" spans="1:9" s="529" customFormat="1" x14ac:dyDescent="0.3">
      <c r="A68" s="530"/>
      <c r="D68" s="558"/>
      <c r="I68" s="559"/>
    </row>
    <row r="69" spans="1:9" s="529" customFormat="1" x14ac:dyDescent="0.3">
      <c r="A69" s="530"/>
      <c r="D69" s="558"/>
      <c r="I69" s="559"/>
    </row>
    <row r="70" spans="1:9" s="529" customFormat="1" x14ac:dyDescent="0.3">
      <c r="A70" s="530"/>
      <c r="D70" s="558"/>
      <c r="I70" s="559"/>
    </row>
    <row r="71" spans="1:9" s="529" customFormat="1" x14ac:dyDescent="0.3">
      <c r="A71" s="530"/>
      <c r="D71" s="558"/>
      <c r="I71" s="559"/>
    </row>
    <row r="72" spans="1:9" s="529" customFormat="1" x14ac:dyDescent="0.3">
      <c r="A72" s="530"/>
      <c r="D72" s="558"/>
      <c r="I72" s="559"/>
    </row>
    <row r="73" spans="1:9" s="529" customFormat="1" x14ac:dyDescent="0.3">
      <c r="A73" s="530"/>
      <c r="D73" s="558"/>
      <c r="I73" s="559"/>
    </row>
    <row r="74" spans="1:9" s="529" customFormat="1" x14ac:dyDescent="0.3">
      <c r="A74" s="530"/>
      <c r="D74" s="558"/>
      <c r="I74" s="559"/>
    </row>
    <row r="75" spans="1:9" s="529" customFormat="1" x14ac:dyDescent="0.3">
      <c r="A75" s="530"/>
      <c r="D75" s="558"/>
      <c r="I75" s="559"/>
    </row>
    <row r="76" spans="1:9" s="529" customFormat="1" x14ac:dyDescent="0.3">
      <c r="A76" s="530"/>
      <c r="D76" s="558"/>
      <c r="I76" s="559"/>
    </row>
    <row r="77" spans="1:9" s="529" customFormat="1" x14ac:dyDescent="0.3">
      <c r="A77" s="530"/>
      <c r="D77" s="558"/>
      <c r="I77" s="559"/>
    </row>
    <row r="78" spans="1:9" s="529" customFormat="1" x14ac:dyDescent="0.3">
      <c r="A78" s="530"/>
      <c r="D78" s="558"/>
      <c r="I78" s="559"/>
    </row>
    <row r="79" spans="1:9" s="529" customFormat="1" x14ac:dyDescent="0.3">
      <c r="A79" s="530"/>
      <c r="D79" s="558"/>
      <c r="I79" s="559"/>
    </row>
    <row r="80" spans="1:9" s="529" customFormat="1" x14ac:dyDescent="0.3">
      <c r="A80" s="530"/>
      <c r="D80" s="558"/>
      <c r="I80" s="559"/>
    </row>
    <row r="81" spans="1:9" s="529" customFormat="1" x14ac:dyDescent="0.3">
      <c r="A81" s="530"/>
      <c r="D81" s="558"/>
      <c r="I81" s="559"/>
    </row>
    <row r="82" spans="1:9" s="529" customFormat="1" x14ac:dyDescent="0.3">
      <c r="A82" s="530"/>
      <c r="D82" s="558"/>
      <c r="I82" s="559"/>
    </row>
    <row r="83" spans="1:9" s="529" customFormat="1" x14ac:dyDescent="0.3">
      <c r="A83" s="530"/>
      <c r="D83" s="558"/>
      <c r="I83" s="559"/>
    </row>
    <row r="84" spans="1:9" s="529" customFormat="1" x14ac:dyDescent="0.3">
      <c r="A84" s="530"/>
      <c r="D84" s="558"/>
      <c r="I84" s="559"/>
    </row>
    <row r="85" spans="1:9" s="529" customFormat="1" x14ac:dyDescent="0.3">
      <c r="A85" s="530"/>
      <c r="D85" s="558"/>
      <c r="I85" s="559"/>
    </row>
    <row r="86" spans="1:9" s="529" customFormat="1" x14ac:dyDescent="0.3">
      <c r="A86" s="530"/>
      <c r="D86" s="558"/>
      <c r="I86" s="559"/>
    </row>
    <row r="87" spans="1:9" s="529" customFormat="1" x14ac:dyDescent="0.3">
      <c r="A87" s="530"/>
      <c r="D87" s="558"/>
      <c r="I87" s="559"/>
    </row>
    <row r="88" spans="1:9" s="529" customFormat="1" x14ac:dyDescent="0.3">
      <c r="A88" s="530"/>
      <c r="D88" s="558"/>
      <c r="I88" s="559"/>
    </row>
    <row r="89" spans="1:9" s="529" customFormat="1" x14ac:dyDescent="0.3">
      <c r="A89" s="530"/>
      <c r="D89" s="558"/>
      <c r="I89" s="559"/>
    </row>
    <row r="90" spans="1:9" s="529" customFormat="1" x14ac:dyDescent="0.3">
      <c r="A90" s="530"/>
      <c r="D90" s="558"/>
      <c r="I90" s="559"/>
    </row>
    <row r="91" spans="1:9" s="529" customFormat="1" x14ac:dyDescent="0.3">
      <c r="A91" s="530"/>
      <c r="D91" s="558"/>
      <c r="I91" s="559"/>
    </row>
    <row r="92" spans="1:9" s="529" customFormat="1" x14ac:dyDescent="0.3">
      <c r="A92" s="530"/>
      <c r="D92" s="558"/>
      <c r="I92" s="559"/>
    </row>
    <row r="93" spans="1:9" s="529" customFormat="1" x14ac:dyDescent="0.3">
      <c r="A93" s="530"/>
      <c r="D93" s="558"/>
      <c r="I93" s="559"/>
    </row>
    <row r="94" spans="1:9" s="529" customFormat="1" x14ac:dyDescent="0.3">
      <c r="A94" s="530"/>
      <c r="D94" s="558"/>
      <c r="I94" s="559"/>
    </row>
    <row r="95" spans="1:9" s="529" customFormat="1" x14ac:dyDescent="0.3">
      <c r="A95" s="530"/>
      <c r="D95" s="558"/>
      <c r="I95" s="559"/>
    </row>
    <row r="96" spans="1:9" s="529" customFormat="1" x14ac:dyDescent="0.3">
      <c r="A96" s="530"/>
      <c r="D96" s="558"/>
      <c r="I96" s="559"/>
    </row>
    <row r="97" spans="1:9" s="529" customFormat="1" x14ac:dyDescent="0.3">
      <c r="A97" s="530"/>
      <c r="D97" s="558"/>
      <c r="I97" s="559"/>
    </row>
    <row r="98" spans="1:9" s="529" customFormat="1" x14ac:dyDescent="0.3">
      <c r="A98" s="530"/>
      <c r="D98" s="558"/>
      <c r="I98" s="559"/>
    </row>
    <row r="99" spans="1:9" s="529" customFormat="1" x14ac:dyDescent="0.3">
      <c r="A99" s="530"/>
      <c r="D99" s="558"/>
      <c r="I99" s="559"/>
    </row>
    <row r="100" spans="1:9" s="529" customFormat="1" x14ac:dyDescent="0.3">
      <c r="A100" s="530"/>
      <c r="D100" s="558"/>
      <c r="I100" s="559"/>
    </row>
    <row r="101" spans="1:9" s="529" customFormat="1" x14ac:dyDescent="0.3">
      <c r="A101" s="530"/>
      <c r="D101" s="558"/>
      <c r="I101" s="559"/>
    </row>
    <row r="102" spans="1:9" s="529" customFormat="1" x14ac:dyDescent="0.3">
      <c r="A102" s="530"/>
      <c r="D102" s="558"/>
      <c r="I102" s="559"/>
    </row>
    <row r="103" spans="1:9" s="529" customFormat="1" x14ac:dyDescent="0.3">
      <c r="A103" s="530"/>
      <c r="D103" s="558"/>
      <c r="I103" s="559"/>
    </row>
    <row r="104" spans="1:9" s="529" customFormat="1" x14ac:dyDescent="0.3">
      <c r="A104" s="530"/>
      <c r="D104" s="558"/>
      <c r="I104" s="559"/>
    </row>
    <row r="105" spans="1:9" s="529" customFormat="1" x14ac:dyDescent="0.3">
      <c r="A105" s="530"/>
      <c r="D105" s="558"/>
      <c r="I105" s="559"/>
    </row>
    <row r="106" spans="1:9" s="529" customFormat="1" x14ac:dyDescent="0.3">
      <c r="A106" s="530"/>
      <c r="D106" s="558"/>
      <c r="I106" s="559"/>
    </row>
    <row r="107" spans="1:9" s="529" customFormat="1" x14ac:dyDescent="0.3">
      <c r="A107" s="530"/>
      <c r="D107" s="558"/>
      <c r="I107" s="559"/>
    </row>
    <row r="108" spans="1:9" s="529" customFormat="1" x14ac:dyDescent="0.3">
      <c r="A108" s="530"/>
      <c r="D108" s="558"/>
      <c r="I108" s="559"/>
    </row>
    <row r="109" spans="1:9" s="529" customFormat="1" x14ac:dyDescent="0.3">
      <c r="A109" s="530"/>
      <c r="D109" s="558"/>
      <c r="I109" s="559"/>
    </row>
    <row r="110" spans="1:9" s="529" customFormat="1" x14ac:dyDescent="0.3">
      <c r="A110" s="530"/>
      <c r="D110" s="558"/>
      <c r="I110" s="559"/>
    </row>
    <row r="111" spans="1:9" s="529" customFormat="1" x14ac:dyDescent="0.3">
      <c r="A111" s="530"/>
      <c r="D111" s="558"/>
      <c r="I111" s="559"/>
    </row>
    <row r="112" spans="1:9" s="529" customFormat="1" x14ac:dyDescent="0.3">
      <c r="A112" s="530"/>
      <c r="D112" s="558"/>
      <c r="I112" s="559"/>
    </row>
    <row r="113" spans="1:9" s="529" customFormat="1" x14ac:dyDescent="0.3">
      <c r="A113" s="530"/>
      <c r="D113" s="558"/>
      <c r="I113" s="559"/>
    </row>
    <row r="114" spans="1:9" s="529" customFormat="1" x14ac:dyDescent="0.3">
      <c r="A114" s="530"/>
      <c r="D114" s="558"/>
      <c r="I114" s="559"/>
    </row>
    <row r="115" spans="1:9" s="529" customFormat="1" x14ac:dyDescent="0.3">
      <c r="A115" s="530"/>
      <c r="D115" s="558"/>
      <c r="I115" s="559"/>
    </row>
    <row r="116" spans="1:9" s="529" customFormat="1" x14ac:dyDescent="0.3">
      <c r="A116" s="530"/>
      <c r="D116" s="558"/>
      <c r="I116" s="559"/>
    </row>
    <row r="117" spans="1:9" s="529" customFormat="1" x14ac:dyDescent="0.3">
      <c r="A117" s="530"/>
      <c r="D117" s="558"/>
      <c r="I117" s="559"/>
    </row>
    <row r="118" spans="1:9" s="529" customFormat="1" x14ac:dyDescent="0.3">
      <c r="A118" s="530"/>
      <c r="D118" s="558"/>
      <c r="I118" s="559"/>
    </row>
    <row r="119" spans="1:9" s="529" customFormat="1" x14ac:dyDescent="0.3">
      <c r="A119" s="530"/>
      <c r="D119" s="558"/>
      <c r="I119" s="559"/>
    </row>
    <row r="120" spans="1:9" s="529" customFormat="1" x14ac:dyDescent="0.3">
      <c r="A120" s="530"/>
      <c r="D120" s="558"/>
      <c r="I120" s="559"/>
    </row>
    <row r="121" spans="1:9" s="529" customFormat="1" x14ac:dyDescent="0.3">
      <c r="A121" s="530"/>
      <c r="D121" s="558"/>
      <c r="I121" s="559"/>
    </row>
  </sheetData>
  <sheetProtection algorithmName="SHA-512" hashValue="ZeGf34LElrfkteDP1B9kZcFubSVWBxdWZ0lKrdSNJsJwjgksXA9ax9sfS3ZpKqFsTF/NLlmD7IlnpVM8V9287w==" saltValue="Bn5/1+6SanwIXORkRyJo0w==" spinCount="100000" sheet="1" objects="1" scenarios="1"/>
  <mergeCells count="3">
    <mergeCell ref="K6:N6"/>
    <mergeCell ref="H6:J6"/>
    <mergeCell ref="C6:F6"/>
  </mergeCells>
  <phoneticPr fontId="0" type="noConversion"/>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R61"/>
  <sheetViews>
    <sheetView topLeftCell="A4" zoomScale="98" zoomScaleNormal="98" workbookViewId="0">
      <selection activeCell="H23" sqref="H23"/>
    </sheetView>
  </sheetViews>
  <sheetFormatPr defaultRowHeight="14.4" x14ac:dyDescent="0.3"/>
  <cols>
    <col min="2" max="2" width="31.44140625" customWidth="1"/>
    <col min="3" max="3" width="10.6640625" customWidth="1"/>
    <col min="4" max="4" width="13.6640625" customWidth="1"/>
    <col min="5" max="5" width="11.109375" customWidth="1"/>
    <col min="6" max="6" width="14.6640625" customWidth="1"/>
    <col min="9" max="9" width="12.5546875" customWidth="1"/>
  </cols>
  <sheetData>
    <row r="1" spans="2:16" ht="18" x14ac:dyDescent="0.35">
      <c r="B1" s="261"/>
      <c r="F1" s="91"/>
      <c r="G1" s="91"/>
      <c r="H1" s="91"/>
      <c r="I1" s="91"/>
      <c r="J1" s="91"/>
      <c r="K1" s="91"/>
    </row>
    <row r="2" spans="2:16" x14ac:dyDescent="0.3">
      <c r="F2" s="91"/>
      <c r="G2" s="91"/>
      <c r="H2" s="91"/>
      <c r="I2" s="91"/>
      <c r="J2" s="91"/>
      <c r="K2" s="91"/>
      <c r="L2" s="91"/>
      <c r="M2" s="91"/>
      <c r="N2" s="91"/>
    </row>
    <row r="3" spans="2:16" s="303" customFormat="1" x14ac:dyDescent="0.3">
      <c r="F3" s="91"/>
      <c r="G3" s="91"/>
      <c r="H3" s="91"/>
      <c r="I3" s="91"/>
      <c r="J3" s="91"/>
      <c r="K3" s="91"/>
      <c r="L3" s="91"/>
      <c r="M3" s="91"/>
      <c r="N3" s="91"/>
    </row>
    <row r="4" spans="2:16" s="91" customFormat="1" x14ac:dyDescent="0.3">
      <c r="B4" s="372" t="s">
        <v>207</v>
      </c>
      <c r="C4" s="377" t="s">
        <v>208</v>
      </c>
      <c r="D4" s="377" t="s">
        <v>209</v>
      </c>
      <c r="E4" s="377" t="s">
        <v>210</v>
      </c>
    </row>
    <row r="5" spans="2:16" x14ac:dyDescent="0.3">
      <c r="B5" s="375" t="s">
        <v>211</v>
      </c>
      <c r="C5" s="376">
        <v>0.86499999999999999</v>
      </c>
      <c r="D5" s="376">
        <v>0.7</v>
      </c>
      <c r="E5" s="376">
        <v>0.9</v>
      </c>
    </row>
    <row r="6" spans="2:16" ht="36.6" x14ac:dyDescent="0.3">
      <c r="B6" s="375" t="s">
        <v>212</v>
      </c>
      <c r="C6" s="376">
        <v>0.55000000000000004</v>
      </c>
      <c r="D6" s="376">
        <v>0.2</v>
      </c>
      <c r="E6" s="376">
        <v>0.7</v>
      </c>
      <c r="I6" s="48"/>
      <c r="J6" s="313" t="s">
        <v>181</v>
      </c>
      <c r="K6" s="313" t="s">
        <v>182</v>
      </c>
    </row>
    <row r="7" spans="2:16" x14ac:dyDescent="0.3">
      <c r="B7" s="375" t="s">
        <v>213</v>
      </c>
      <c r="C7" s="376">
        <v>0.9</v>
      </c>
      <c r="D7" s="376">
        <v>0.6</v>
      </c>
      <c r="E7" s="376">
        <v>0.95</v>
      </c>
      <c r="H7" s="31"/>
      <c r="I7" s="322" t="s">
        <v>179</v>
      </c>
      <c r="J7" s="323">
        <v>4</v>
      </c>
      <c r="K7" s="324">
        <v>6</v>
      </c>
      <c r="L7" s="303"/>
      <c r="M7" s="303" t="s">
        <v>180</v>
      </c>
    </row>
    <row r="8" spans="2:16" ht="16.2" x14ac:dyDescent="0.3">
      <c r="B8" s="375" t="s">
        <v>214</v>
      </c>
      <c r="C8" s="376">
        <v>0.56000000000000005</v>
      </c>
      <c r="D8" s="376">
        <v>0.3</v>
      </c>
      <c r="E8" s="376">
        <v>0.95</v>
      </c>
      <c r="H8" s="31"/>
      <c r="I8" s="311" t="s">
        <v>171</v>
      </c>
      <c r="J8" s="305">
        <f>0.5*(VLOOKUP($D$30,$I$16:$N$18,3,0))*(1-(VLOOKUP($D$30,$I$16:$N$18,6,0))^(J7+1))/(1-(VLOOKUP($D$30,$I$16:$N$18,6,0)))</f>
        <v>0.83192999999999984</v>
      </c>
      <c r="K8" s="306">
        <f>0.5*(VLOOKUP($D$30,$I$16:$N$18,3,0))*(1-(VLOOKUP($D$30,$I$16:$N$18,6,0))^(K7+1))/(1-(VLOOKUP($D$30,$I$16:$N$18,6,0)))</f>
        <v>0.91764569999999979</v>
      </c>
      <c r="L8" s="303"/>
      <c r="M8" s="303" t="s">
        <v>172</v>
      </c>
    </row>
    <row r="9" spans="2:16" x14ac:dyDescent="0.3">
      <c r="B9" s="373"/>
      <c r="C9" s="89"/>
      <c r="D9" s="89"/>
      <c r="E9" s="89"/>
      <c r="H9" s="31"/>
      <c r="I9" s="272" t="s">
        <v>173</v>
      </c>
      <c r="J9" s="307">
        <f>0.5*(VLOOKUP($D$30,$I$16:$N$18,4,0))*((VLOOKUP($D$30,$I$16:$N$18,2,0))+(VLOOKUP($D$30,$I$16:$N$18,5,0))*(VLOOKUP($D$30,$I$16:$N$18,3,0))*(1-(VLOOKUP($D$30,$I$16:$N$18,6,0))^K7)/(1-(VLOOKUP($D$30,$I$16:$N$18,6,0))))</f>
        <v>0.15352914000000001</v>
      </c>
      <c r="K9" s="308">
        <f>0.5*(VLOOKUP($D$30,$I$16:$N$18,4,0))*((VLOOKUP($D$30,$I$16:$N$18,2,0))+(VLOOKUP($D$30,$I$16:$N$18,5,0))*(VLOOKUP($D$30,$I$16:$N$18,3,0))*(1-(VLOOKUP($D$30,$I$16:$N$18,6,0))^K7)/(1-(VLOOKUP($D$30,$I$16:$N$18,6,0))))</f>
        <v>0.15352914000000001</v>
      </c>
      <c r="L9" s="303"/>
      <c r="M9" s="303" t="s">
        <v>174</v>
      </c>
    </row>
    <row r="10" spans="2:16" x14ac:dyDescent="0.3">
      <c r="B10" s="374" t="s">
        <v>215</v>
      </c>
      <c r="C10" s="89"/>
      <c r="D10" s="89"/>
      <c r="E10" s="89"/>
      <c r="H10" s="31"/>
      <c r="I10" s="312" t="s">
        <v>175</v>
      </c>
      <c r="J10" s="309">
        <f>J8*J9</f>
        <v>0.12772549744019998</v>
      </c>
      <c r="K10" s="310">
        <f>K8*K9</f>
        <v>0.14088535514569797</v>
      </c>
      <c r="L10" s="303"/>
      <c r="M10" s="303" t="s">
        <v>176</v>
      </c>
    </row>
    <row r="11" spans="2:16" x14ac:dyDescent="0.3">
      <c r="C11" s="377" t="s">
        <v>216</v>
      </c>
      <c r="D11" s="377" t="s">
        <v>217</v>
      </c>
      <c r="H11" s="31"/>
      <c r="I11" s="129"/>
      <c r="J11" s="304"/>
      <c r="K11" s="304"/>
      <c r="L11" s="129"/>
      <c r="M11" s="129"/>
    </row>
    <row r="12" spans="2:16" x14ac:dyDescent="0.3">
      <c r="B12" s="375" t="s">
        <v>211</v>
      </c>
      <c r="C12" s="376">
        <v>0.6</v>
      </c>
      <c r="D12" s="376">
        <v>0.84</v>
      </c>
      <c r="H12" s="31"/>
      <c r="I12" s="32"/>
      <c r="J12" s="32"/>
      <c r="K12" s="32"/>
    </row>
    <row r="13" spans="2:16" x14ac:dyDescent="0.3">
      <c r="B13" s="375" t="s">
        <v>218</v>
      </c>
      <c r="C13" s="376">
        <v>0.3</v>
      </c>
      <c r="D13" s="376">
        <v>0.7</v>
      </c>
      <c r="E13" s="89"/>
      <c r="H13" s="31"/>
      <c r="I13" s="32"/>
      <c r="J13" s="115">
        <v>2</v>
      </c>
      <c r="K13" s="115">
        <v>3</v>
      </c>
      <c r="L13" s="116">
        <v>4</v>
      </c>
      <c r="M13" s="115">
        <v>5</v>
      </c>
      <c r="N13" s="115">
        <v>6</v>
      </c>
    </row>
    <row r="14" spans="2:16" x14ac:dyDescent="0.3">
      <c r="B14" s="375" t="s">
        <v>213</v>
      </c>
      <c r="C14" s="376">
        <v>0.7</v>
      </c>
      <c r="D14" s="376">
        <v>0.97</v>
      </c>
      <c r="E14" s="89"/>
      <c r="H14" s="31"/>
      <c r="I14" s="93"/>
      <c r="J14" s="650" t="s">
        <v>69</v>
      </c>
      <c r="K14" s="651"/>
      <c r="L14" s="652" t="s">
        <v>70</v>
      </c>
      <c r="M14" s="652"/>
      <c r="N14" s="653"/>
      <c r="P14" t="s">
        <v>143</v>
      </c>
    </row>
    <row r="15" spans="2:16" x14ac:dyDescent="0.3">
      <c r="B15" s="375" t="s">
        <v>219</v>
      </c>
      <c r="C15" s="376">
        <v>0.25</v>
      </c>
      <c r="D15" s="376">
        <v>0.65</v>
      </c>
      <c r="E15" s="89"/>
      <c r="H15" s="31"/>
      <c r="I15" s="94"/>
      <c r="J15" s="106" t="s">
        <v>71</v>
      </c>
      <c r="K15" s="96" t="s">
        <v>72</v>
      </c>
      <c r="L15" s="10" t="s">
        <v>73</v>
      </c>
      <c r="M15" s="95" t="s">
        <v>71</v>
      </c>
      <c r="N15" s="96" t="s">
        <v>74</v>
      </c>
      <c r="P15" s="135" t="s">
        <v>163</v>
      </c>
    </row>
    <row r="16" spans="2:16" x14ac:dyDescent="0.3">
      <c r="B16" s="373"/>
      <c r="H16" s="31"/>
      <c r="I16" s="104" t="s">
        <v>66</v>
      </c>
      <c r="J16" s="93">
        <f>D23</f>
        <v>0.56000000000000005</v>
      </c>
      <c r="K16" s="107">
        <f>D24</f>
        <v>0.9</v>
      </c>
      <c r="L16" s="97">
        <f>D25</f>
        <v>0.55000000000000004</v>
      </c>
      <c r="M16" s="97">
        <f>D26</f>
        <v>0.86499999999999999</v>
      </c>
      <c r="N16" s="98">
        <f>D27</f>
        <v>0.86499999999999999</v>
      </c>
      <c r="P16" t="s">
        <v>164</v>
      </c>
    </row>
    <row r="17" spans="2:44" x14ac:dyDescent="0.3">
      <c r="C17" s="373"/>
      <c r="H17" s="31"/>
      <c r="I17" s="105" t="s">
        <v>67</v>
      </c>
      <c r="J17" s="99">
        <f>E23</f>
        <v>0.3</v>
      </c>
      <c r="K17" s="108">
        <f>E24</f>
        <v>0.6</v>
      </c>
      <c r="L17" s="100">
        <f>E25</f>
        <v>0.2</v>
      </c>
      <c r="M17" s="100">
        <f>E26</f>
        <v>0.7</v>
      </c>
      <c r="N17" s="101">
        <f>E27</f>
        <v>0.7</v>
      </c>
    </row>
    <row r="18" spans="2:44" x14ac:dyDescent="0.3">
      <c r="B18" s="373"/>
      <c r="C18" s="373"/>
      <c r="H18" s="31"/>
      <c r="I18" s="106" t="s">
        <v>68</v>
      </c>
      <c r="J18" s="94">
        <f>F23</f>
        <v>0.95</v>
      </c>
      <c r="K18" s="109">
        <f>F24</f>
        <v>0.95</v>
      </c>
      <c r="L18" s="102">
        <f>F25</f>
        <v>0.7</v>
      </c>
      <c r="M18" s="102">
        <f>F26</f>
        <v>0.9</v>
      </c>
      <c r="N18" s="103">
        <f>F27</f>
        <v>0.9</v>
      </c>
    </row>
    <row r="19" spans="2:44" x14ac:dyDescent="0.3">
      <c r="B19" s="378"/>
      <c r="C19" s="129"/>
      <c r="H19" s="31"/>
      <c r="I19" s="303"/>
      <c r="J19" s="303"/>
      <c r="K19" s="303"/>
      <c r="L19" s="303"/>
      <c r="M19" s="303"/>
    </row>
    <row r="20" spans="2:44" x14ac:dyDescent="0.3">
      <c r="B20" s="129"/>
      <c r="C20" s="379"/>
      <c r="D20" s="303"/>
      <c r="E20" s="276"/>
      <c r="F20" s="276"/>
      <c r="G20" s="303"/>
      <c r="H20" s="31"/>
      <c r="I20" s="303"/>
      <c r="J20" s="303"/>
      <c r="K20" s="303"/>
      <c r="L20" s="303"/>
      <c r="M20" s="303"/>
    </row>
    <row r="21" spans="2:44" x14ac:dyDescent="0.3">
      <c r="B21" s="303"/>
      <c r="C21" s="303"/>
      <c r="D21" s="303"/>
      <c r="E21" s="303"/>
      <c r="F21" s="303"/>
      <c r="G21" s="303"/>
      <c r="I21" s="303"/>
      <c r="J21" s="303"/>
      <c r="K21" s="303"/>
      <c r="L21" s="303"/>
      <c r="M21" s="303"/>
    </row>
    <row r="22" spans="2:44" x14ac:dyDescent="0.3">
      <c r="B22" s="303"/>
      <c r="C22" s="303"/>
      <c r="D22" s="380" t="s">
        <v>66</v>
      </c>
      <c r="E22" s="380" t="s">
        <v>67</v>
      </c>
      <c r="F22" s="380" t="s">
        <v>68</v>
      </c>
      <c r="G22" s="303"/>
      <c r="I22" s="303"/>
      <c r="J22" s="303"/>
      <c r="K22" s="303"/>
      <c r="L22" s="303"/>
      <c r="M22" s="303"/>
    </row>
    <row r="23" spans="2:44" x14ac:dyDescent="0.3">
      <c r="B23" t="s">
        <v>161</v>
      </c>
      <c r="C23" s="3"/>
      <c r="D23" s="381">
        <v>0.56000000000000005</v>
      </c>
      <c r="E23" s="32">
        <v>0.3</v>
      </c>
      <c r="F23" s="32">
        <v>0.95</v>
      </c>
      <c r="I23" s="303"/>
      <c r="J23" s="303"/>
      <c r="K23" s="303"/>
      <c r="L23" s="303"/>
      <c r="M23" s="303"/>
      <c r="S23" s="129"/>
    </row>
    <row r="24" spans="2:44" x14ac:dyDescent="0.3">
      <c r="B24" s="4" t="s">
        <v>7</v>
      </c>
      <c r="C24" s="3"/>
      <c r="D24" s="381">
        <v>0.9</v>
      </c>
      <c r="E24" s="32">
        <v>0.6</v>
      </c>
      <c r="F24" s="32">
        <v>0.95</v>
      </c>
    </row>
    <row r="25" spans="2:44" x14ac:dyDescent="0.3">
      <c r="B25" t="s">
        <v>8</v>
      </c>
      <c r="C25" s="3"/>
      <c r="D25" s="381">
        <v>0.55000000000000004</v>
      </c>
      <c r="E25" s="32">
        <v>0.2</v>
      </c>
      <c r="F25" s="32">
        <v>0.7</v>
      </c>
      <c r="J25" s="303"/>
    </row>
    <row r="26" spans="2:44" x14ac:dyDescent="0.3">
      <c r="B26" t="s">
        <v>162</v>
      </c>
      <c r="C26" s="3"/>
      <c r="D26" s="382">
        <v>0.86499999999999999</v>
      </c>
      <c r="E26" s="5">
        <v>0.7</v>
      </c>
      <c r="F26" s="5">
        <v>0.9</v>
      </c>
    </row>
    <row r="27" spans="2:44" x14ac:dyDescent="0.3">
      <c r="B27" t="s">
        <v>9</v>
      </c>
      <c r="C27" s="3"/>
      <c r="D27" s="382">
        <v>0.86499999999999999</v>
      </c>
      <c r="E27" s="5">
        <v>0.7</v>
      </c>
      <c r="F27" s="5">
        <v>0.9</v>
      </c>
    </row>
    <row r="28" spans="2:44" x14ac:dyDescent="0.3">
      <c r="C28" s="3"/>
      <c r="E28" s="31"/>
      <c r="F28" s="31"/>
    </row>
    <row r="29" spans="2:44" x14ac:dyDescent="0.3">
      <c r="B29" s="118" t="s">
        <v>104</v>
      </c>
      <c r="C29" s="119"/>
      <c r="D29" s="120" t="s">
        <v>80</v>
      </c>
      <c r="E29" s="12"/>
      <c r="F29" s="12"/>
    </row>
    <row r="30" spans="2:44" x14ac:dyDescent="0.3">
      <c r="B30" s="6" t="s">
        <v>103</v>
      </c>
      <c r="C30" s="117">
        <f>(E34+F35+G36+H37+I38)/2</f>
        <v>0.83192999999999995</v>
      </c>
      <c r="D30" s="121" t="str">
        <f>Impacts!$C$9</f>
        <v>Declining</v>
      </c>
      <c r="E30" s="12"/>
      <c r="F30" s="12"/>
      <c r="AD30" s="91"/>
      <c r="AE30" s="91"/>
      <c r="AF30" s="91"/>
      <c r="AG30" s="91"/>
      <c r="AH30" s="91"/>
      <c r="AI30" s="91"/>
    </row>
    <row r="31" spans="2:44" x14ac:dyDescent="0.3">
      <c r="B31" s="6" t="s">
        <v>105</v>
      </c>
      <c r="C31" s="122">
        <f>SUM(B34:B45)-C30</f>
        <v>0.12772549744020001</v>
      </c>
      <c r="AD31" s="91"/>
      <c r="AE31" s="91"/>
      <c r="AF31" s="91"/>
      <c r="AG31" s="91"/>
      <c r="AH31" s="91"/>
      <c r="AI31" s="91"/>
    </row>
    <row r="32" spans="2:44" x14ac:dyDescent="0.3">
      <c r="B32" s="123"/>
      <c r="C32" s="124"/>
      <c r="D32" s="294" t="s">
        <v>183</v>
      </c>
      <c r="E32" s="125" t="s">
        <v>103</v>
      </c>
      <c r="F32" s="126"/>
      <c r="G32" s="126"/>
      <c r="H32" s="126"/>
      <c r="I32" s="126"/>
      <c r="J32" s="127" t="s">
        <v>105</v>
      </c>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279"/>
    </row>
    <row r="33" spans="2:44" x14ac:dyDescent="0.3">
      <c r="B33" s="7" t="s">
        <v>97</v>
      </c>
      <c r="C33" s="298" t="s">
        <v>18</v>
      </c>
      <c r="D33" s="299" t="s">
        <v>98</v>
      </c>
      <c r="E33" s="300" t="s">
        <v>76</v>
      </c>
      <c r="F33" s="300" t="s">
        <v>77</v>
      </c>
      <c r="G33" s="300" t="s">
        <v>78</v>
      </c>
      <c r="H33" s="300" t="s">
        <v>79</v>
      </c>
      <c r="I33" s="300" t="s">
        <v>115</v>
      </c>
      <c r="J33" s="301" t="s">
        <v>99</v>
      </c>
      <c r="K33" s="301" t="s">
        <v>81</v>
      </c>
      <c r="L33" s="301" t="s">
        <v>82</v>
      </c>
      <c r="M33" s="301" t="s">
        <v>83</v>
      </c>
      <c r="N33" s="301" t="s">
        <v>84</v>
      </c>
      <c r="O33" s="301" t="s">
        <v>157</v>
      </c>
      <c r="P33" s="301" t="s">
        <v>170</v>
      </c>
      <c r="Q33" s="301" t="s">
        <v>100</v>
      </c>
      <c r="R33" s="301" t="s">
        <v>85</v>
      </c>
      <c r="S33" s="301" t="s">
        <v>86</v>
      </c>
      <c r="T33" s="301" t="s">
        <v>87</v>
      </c>
      <c r="U33" s="301" t="s">
        <v>88</v>
      </c>
      <c r="V33" s="301" t="s">
        <v>156</v>
      </c>
      <c r="W33" s="301" t="s">
        <v>169</v>
      </c>
      <c r="X33" s="301" t="s">
        <v>101</v>
      </c>
      <c r="Y33" s="301" t="s">
        <v>89</v>
      </c>
      <c r="Z33" s="301" t="s">
        <v>90</v>
      </c>
      <c r="AA33" s="301" t="s">
        <v>91</v>
      </c>
      <c r="AB33" s="301" t="s">
        <v>92</v>
      </c>
      <c r="AC33" s="301" t="s">
        <v>155</v>
      </c>
      <c r="AD33" s="301" t="s">
        <v>168</v>
      </c>
      <c r="AE33" s="301" t="s">
        <v>102</v>
      </c>
      <c r="AF33" s="301" t="s">
        <v>93</v>
      </c>
      <c r="AG33" s="301" t="s">
        <v>94</v>
      </c>
      <c r="AH33" s="301" t="s">
        <v>95</v>
      </c>
      <c r="AI33" s="301" t="s">
        <v>96</v>
      </c>
      <c r="AJ33" s="301" t="s">
        <v>154</v>
      </c>
      <c r="AK33" s="301" t="s">
        <v>167</v>
      </c>
      <c r="AL33" s="301" t="s">
        <v>116</v>
      </c>
      <c r="AM33" s="301" t="s">
        <v>117</v>
      </c>
      <c r="AN33" s="301" t="s">
        <v>118</v>
      </c>
      <c r="AO33" s="301" t="s">
        <v>119</v>
      </c>
      <c r="AP33" s="301" t="s">
        <v>120</v>
      </c>
      <c r="AQ33" s="301" t="s">
        <v>153</v>
      </c>
      <c r="AR33" s="302" t="s">
        <v>166</v>
      </c>
    </row>
    <row r="34" spans="2:44" x14ac:dyDescent="0.3">
      <c r="B34" s="105">
        <f>E34/2</f>
        <v>0.3</v>
      </c>
      <c r="C34" s="129">
        <v>0</v>
      </c>
      <c r="D34" s="129">
        <v>1</v>
      </c>
      <c r="E34" s="130">
        <f>(VLOOKUP($D$30,$I$16:$N$18,3,0))</f>
        <v>0.6</v>
      </c>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4"/>
      <c r="AR34" s="271"/>
    </row>
    <row r="35" spans="2:44" x14ac:dyDescent="0.3">
      <c r="B35" s="105">
        <f>(F35+J35/2)/2</f>
        <v>0.219</v>
      </c>
      <c r="C35" s="129">
        <v>1</v>
      </c>
      <c r="D35" s="131">
        <f>D34*VLOOKUP($D$30,$I$16:$N$18,6,0)</f>
        <v>0.7</v>
      </c>
      <c r="E35" s="131">
        <f>E34*VLOOKUP($D$30,$I$16:$N$18,4,0)</f>
        <v>0.12</v>
      </c>
      <c r="F35" s="132">
        <f>D35*VLOOKUP($D$30,$I$16:$N$18,3,0)</f>
        <v>0.42</v>
      </c>
      <c r="G35" s="129"/>
      <c r="H35" s="129"/>
      <c r="I35" s="129"/>
      <c r="J35" s="130">
        <f>E35*VLOOKUP($D$30,$I$16:$N$18,2,0)</f>
        <v>3.5999999999999997E-2</v>
      </c>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4"/>
      <c r="AR35" s="271"/>
    </row>
    <row r="36" spans="2:44" x14ac:dyDescent="0.3">
      <c r="B36" s="105">
        <f>(G36+(K36+Q36)/2)/2</f>
        <v>0.16589999999999996</v>
      </c>
      <c r="C36" s="129">
        <v>2</v>
      </c>
      <c r="D36" s="131">
        <f>D35*VLOOKUP($D$30,$I$16:$N$18,6,0)</f>
        <v>0.48999999999999994</v>
      </c>
      <c r="E36" s="131">
        <f>E35*VLOOKUP($D$30,$I$16:$N$18,5,0)</f>
        <v>8.3999999999999991E-2</v>
      </c>
      <c r="F36" s="131">
        <f>F35*VLOOKUP($D$30,$I$16:$N$18,4,0)</f>
        <v>8.4000000000000005E-2</v>
      </c>
      <c r="G36" s="133">
        <f>D36*VLOOKUP($D$30,$I$16:$N$18,3,0)</f>
        <v>0.29399999999999993</v>
      </c>
      <c r="H36" s="129"/>
      <c r="I36" s="129"/>
      <c r="J36" s="131">
        <f>J35*VLOOKUP($D$30,$I$16:$N$18,4,0)</f>
        <v>7.1999999999999998E-3</v>
      </c>
      <c r="K36" s="130">
        <f>E36*VLOOKUP($D$30,$I$16:$N$18,3,0)</f>
        <v>5.0399999999999993E-2</v>
      </c>
      <c r="L36" s="129"/>
      <c r="M36" s="129"/>
      <c r="N36" s="129"/>
      <c r="O36" s="129"/>
      <c r="P36" s="129"/>
      <c r="Q36" s="132">
        <f>F36*VLOOKUP($D$30,$I$16:$N$18,2,0)</f>
        <v>2.52E-2</v>
      </c>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4"/>
      <c r="AR36" s="271"/>
    </row>
    <row r="37" spans="2:44" x14ac:dyDescent="0.3">
      <c r="B37" s="105">
        <f>(H37+(L37+R37+X37)/2)/2</f>
        <v>0.12494999999999998</v>
      </c>
      <c r="C37" s="129">
        <v>3</v>
      </c>
      <c r="D37" s="131">
        <f>D36*VLOOKUP($D$30,$I$16:$N$18,6,0)</f>
        <v>0.34299999999999992</v>
      </c>
      <c r="E37" s="131">
        <f>E36*VLOOKUP($D$30,$I$16:$N$18,6,0)</f>
        <v>5.8799999999999991E-2</v>
      </c>
      <c r="F37" s="131">
        <f>F36*VLOOKUP($D$30,$I$16:$N$18,5,0)</f>
        <v>5.8799999999999998E-2</v>
      </c>
      <c r="G37" s="131">
        <f>G36*VLOOKUP($D$30,$I$16:$N$18,4,0)</f>
        <v>5.8799999999999991E-2</v>
      </c>
      <c r="H37" s="134">
        <f>D37*VLOOKUP($D$30,$I$16:$N$18,3,0)</f>
        <v>0.20579999999999996</v>
      </c>
      <c r="I37" s="135"/>
      <c r="J37" s="131">
        <f>J36*VLOOKUP($D$30,$I$16:$N$18,5,0)</f>
        <v>5.0399999999999993E-3</v>
      </c>
      <c r="K37" s="131">
        <f>K36*VLOOKUP($D$30,$I$16:$N$18,4,0)</f>
        <v>1.0079999999999999E-2</v>
      </c>
      <c r="L37" s="130">
        <f>E37*VLOOKUP($D$30,$I$16:$N$18,3,0)</f>
        <v>3.5279999999999992E-2</v>
      </c>
      <c r="M37" s="129"/>
      <c r="N37" s="129"/>
      <c r="O37" s="129"/>
      <c r="P37" s="129"/>
      <c r="Q37" s="131">
        <f>Q36*VLOOKUP($D$30,$I$16:$N$18,4,0)</f>
        <v>5.0400000000000002E-3</v>
      </c>
      <c r="R37" s="132">
        <f>F37*VLOOKUP($D$30,$I$16:$N$18,3,0)</f>
        <v>3.5279999999999999E-2</v>
      </c>
      <c r="S37" s="129"/>
      <c r="T37" s="129"/>
      <c r="U37" s="129"/>
      <c r="V37" s="129"/>
      <c r="W37" s="129"/>
      <c r="X37" s="133">
        <f>G37*VLOOKUP($D$30,$I$16:$N$18,2,0)</f>
        <v>1.7639999999999996E-2</v>
      </c>
      <c r="Y37" s="129"/>
      <c r="Z37" s="129"/>
      <c r="AA37" s="129"/>
      <c r="AB37" s="129"/>
      <c r="AC37" s="129"/>
      <c r="AD37" s="129"/>
      <c r="AE37" s="129"/>
      <c r="AF37" s="129"/>
      <c r="AG37" s="129"/>
      <c r="AH37" s="129"/>
      <c r="AI37" s="129"/>
      <c r="AJ37" s="129"/>
      <c r="AK37" s="129"/>
      <c r="AL37" s="129"/>
      <c r="AM37" s="129"/>
      <c r="AN37" s="129"/>
      <c r="AO37" s="129"/>
      <c r="AP37" s="129"/>
      <c r="AQ37" s="4"/>
      <c r="AR37" s="271"/>
    </row>
    <row r="38" spans="2:44" x14ac:dyDescent="0.3">
      <c r="B38" s="105">
        <f>(I38+(M38+S38+Y38+AE38)/2)/2</f>
        <v>9.3638999999999972E-2</v>
      </c>
      <c r="C38" s="129">
        <v>4</v>
      </c>
      <c r="D38" s="131">
        <f>D37*VLOOKUP($D$30,$I$16:$N$18,6,0)</f>
        <v>0.24009999999999992</v>
      </c>
      <c r="E38" s="131">
        <f>E37*VLOOKUP($D$30,$I$16:$N$18,6,0)</f>
        <v>4.1159999999999988E-2</v>
      </c>
      <c r="F38" s="131">
        <f>F37*VLOOKUP($D$30,$I$16:$N$18,6,0)</f>
        <v>4.1159999999999995E-2</v>
      </c>
      <c r="G38" s="131">
        <f>G37*VLOOKUP($D$30,$I$16:$N$18,5,0)</f>
        <v>4.1159999999999988E-2</v>
      </c>
      <c r="H38" s="131">
        <f>H37*VLOOKUP($D$30,$I$16:$N$18,4,0)</f>
        <v>4.1159999999999995E-2</v>
      </c>
      <c r="I38" s="137">
        <f>D38*VLOOKUP($D$30,$I$16:$N$18,3,0)</f>
        <v>0.14405999999999994</v>
      </c>
      <c r="J38" s="131">
        <f>J37*VLOOKUP($D$30,$I$16:$N$18,6,0)</f>
        <v>3.5279999999999995E-3</v>
      </c>
      <c r="K38" s="131">
        <f>K37*VLOOKUP($D$30,$I$16:$N$18,5,0)</f>
        <v>7.0559999999999989E-3</v>
      </c>
      <c r="L38" s="131">
        <f>L37*VLOOKUP($D$30,$I$16:$N$18,4,0)</f>
        <v>7.0559999999999989E-3</v>
      </c>
      <c r="M38" s="130">
        <f>E38*VLOOKUP($D$30,$I$16:$N$18,3,0)</f>
        <v>2.4695999999999992E-2</v>
      </c>
      <c r="N38" s="135"/>
      <c r="O38" s="129"/>
      <c r="P38" s="129"/>
      <c r="Q38" s="131">
        <f>Q37*VLOOKUP($D$30,$I$16:$N$18,5,0)</f>
        <v>3.5279999999999999E-3</v>
      </c>
      <c r="R38" s="131">
        <f>R37*VLOOKUP($D$30,$I$16:$N$18,4,0)</f>
        <v>7.0559999999999998E-3</v>
      </c>
      <c r="S38" s="132">
        <f>F38*VLOOKUP($D$30,$I$16:$N$18,3,0)</f>
        <v>2.4695999999999996E-2</v>
      </c>
      <c r="T38" s="129"/>
      <c r="U38" s="129"/>
      <c r="V38" s="129"/>
      <c r="W38" s="129"/>
      <c r="X38" s="131">
        <f>X37*VLOOKUP($D$30,$I$16:$N$18,4,0)</f>
        <v>3.5279999999999995E-3</v>
      </c>
      <c r="Y38" s="133">
        <f>G38*VLOOKUP($D$30,$I$16:$N$18,3,0)</f>
        <v>2.4695999999999992E-2</v>
      </c>
      <c r="Z38" s="129"/>
      <c r="AA38" s="129"/>
      <c r="AB38" s="129"/>
      <c r="AC38" s="129"/>
      <c r="AD38" s="129"/>
      <c r="AE38" s="134">
        <f>H38*VLOOKUP($D$30,$I$16:$N$18,2,0)</f>
        <v>1.2347999999999998E-2</v>
      </c>
      <c r="AF38" s="129"/>
      <c r="AG38" s="129"/>
      <c r="AH38" s="129"/>
      <c r="AI38" s="129"/>
      <c r="AJ38" s="129"/>
      <c r="AK38" s="129"/>
      <c r="AL38" s="135"/>
      <c r="AM38" s="129"/>
      <c r="AN38" s="129"/>
      <c r="AO38" s="129"/>
      <c r="AP38" s="129"/>
      <c r="AQ38" s="4"/>
      <c r="AR38" s="271"/>
    </row>
    <row r="39" spans="2:44" x14ac:dyDescent="0.3">
      <c r="B39" s="105">
        <f>(N39+T39+Z39+AF39+AL39)/4</f>
        <v>1.9448099999999996E-2</v>
      </c>
      <c r="C39" s="129">
        <v>5</v>
      </c>
      <c r="D39" s="129"/>
      <c r="E39" s="131">
        <f>E38*VLOOKUP($D$30,$I$16:$N$18,6,0)</f>
        <v>2.881199999999999E-2</v>
      </c>
      <c r="F39" s="131">
        <f>F38*VLOOKUP($D$30,$I$16:$N$18,6,0)</f>
        <v>2.8811999999999994E-2</v>
      </c>
      <c r="G39" s="131">
        <f>G38*VLOOKUP($D$30,$I$16:$N$18,6,0)</f>
        <v>2.881199999999999E-2</v>
      </c>
      <c r="H39" s="131">
        <f>H38*VLOOKUP($D$30,$I$16:$N$18,5,0)</f>
        <v>2.8811999999999994E-2</v>
      </c>
      <c r="I39" s="131">
        <f>I38*VLOOKUP($D$30,$I$16:$N$18,4,0)</f>
        <v>2.881199999999999E-2</v>
      </c>
      <c r="J39" s="131">
        <f>J38*VLOOKUP($D$30,$I$16:$N$18,6,0)</f>
        <v>2.4695999999999993E-3</v>
      </c>
      <c r="K39" s="131">
        <f>K38*VLOOKUP($D$30,$I$16:$N$18,6,0)</f>
        <v>4.9391999999999986E-3</v>
      </c>
      <c r="L39" s="131">
        <f>L38*VLOOKUP($D$30,$I$16:$N$18,5,0)</f>
        <v>4.9391999999999986E-3</v>
      </c>
      <c r="M39" s="131">
        <f>M38*VLOOKUP($D$30,$I$16:$N$18,4,0)</f>
        <v>4.9391999999999986E-3</v>
      </c>
      <c r="N39" s="130">
        <f>E39*VLOOKUP($D$30,$I$16:$N$18,3,0)</f>
        <v>1.7287199999999992E-2</v>
      </c>
      <c r="O39" s="129"/>
      <c r="P39" s="129"/>
      <c r="Q39" s="131">
        <f>Q38*VLOOKUP($D$30,$I$16:$N$18,6,0)</f>
        <v>2.4695999999999997E-3</v>
      </c>
      <c r="R39" s="131">
        <f>R38*VLOOKUP($D$30,$I$16:$N$18,5,0)</f>
        <v>4.9391999999999995E-3</v>
      </c>
      <c r="S39" s="131">
        <f>S38*VLOOKUP($D$30,$I$16:$N$18,4,0)</f>
        <v>4.9391999999999995E-3</v>
      </c>
      <c r="T39" s="132">
        <f>F39*VLOOKUP($D$30,$I$16:$N$18,3,0)</f>
        <v>1.7287199999999996E-2</v>
      </c>
      <c r="U39" s="135"/>
      <c r="V39" s="129"/>
      <c r="W39" s="129"/>
      <c r="X39" s="131">
        <f>X38*VLOOKUP($D$30,$I$16:$N$18,5,0)</f>
        <v>2.4695999999999993E-3</v>
      </c>
      <c r="Y39" s="131">
        <f>Y38*VLOOKUP($D$30,$I$16:$N$18,4,0)</f>
        <v>4.9391999999999986E-3</v>
      </c>
      <c r="Z39" s="133">
        <f>G39*VLOOKUP($D$30,$I$16:$N$18,3,0)</f>
        <v>1.7287199999999992E-2</v>
      </c>
      <c r="AA39" s="129"/>
      <c r="AB39" s="129"/>
      <c r="AC39" s="129"/>
      <c r="AD39" s="129"/>
      <c r="AE39" s="131">
        <f>AE38*VLOOKUP($D$30,$I$16:$N$18,4,0)</f>
        <v>2.4695999999999997E-3</v>
      </c>
      <c r="AF39" s="134">
        <f>H39*VLOOKUP($D$30,$I$16:$N$18,3,0)</f>
        <v>1.7287199999999996E-2</v>
      </c>
      <c r="AG39" s="129"/>
      <c r="AH39" s="129"/>
      <c r="AI39" s="129"/>
      <c r="AJ39" s="129"/>
      <c r="AK39" s="129"/>
      <c r="AL39" s="137">
        <f>I39*VLOOKUP($D$30,$I$16:$N$18,2,0)</f>
        <v>8.6435999999999961E-3</v>
      </c>
      <c r="AM39" s="135"/>
      <c r="AN39" s="129"/>
      <c r="AO39" s="129"/>
      <c r="AP39" s="129"/>
      <c r="AQ39" s="4"/>
      <c r="AR39" s="271"/>
    </row>
    <row r="40" spans="2:44" x14ac:dyDescent="0.3">
      <c r="B40" s="105">
        <f>(O40+U40+AA40+AG40+AM40)/4</f>
        <v>1.5126299999999995E-2</v>
      </c>
      <c r="C40" s="129">
        <v>6</v>
      </c>
      <c r="D40" s="129"/>
      <c r="E40" s="131">
        <f>E39*VLOOKUP($D$30,$I$16:$N$18,6,0)</f>
        <v>2.0168399999999993E-2</v>
      </c>
      <c r="F40" s="131">
        <f>F39*VLOOKUP($D$30,$I$16:$N$18,6,0)</f>
        <v>2.0168399999999996E-2</v>
      </c>
      <c r="G40" s="131">
        <f>G39*VLOOKUP($D$30,$I$16:$N$18,6,0)</f>
        <v>2.0168399999999993E-2</v>
      </c>
      <c r="H40" s="131">
        <f>H39*VLOOKUP($D$30,$I$16:$N$18,6,0)</f>
        <v>2.0168399999999996E-2</v>
      </c>
      <c r="I40" s="131">
        <f>I39*VLOOKUP($D$30,$I$16:$N$18,5,0)</f>
        <v>2.0168399999999993E-2</v>
      </c>
      <c r="J40" s="129"/>
      <c r="K40" s="131">
        <f>K39*VLOOKUP($D$30,$I$16:$N$18,6,0)</f>
        <v>3.4574399999999987E-3</v>
      </c>
      <c r="L40" s="131">
        <f>L39*VLOOKUP($D$30,$I$16:$N$18,6,0)</f>
        <v>3.4574399999999987E-3</v>
      </c>
      <c r="M40" s="131">
        <f>M39*VLOOKUP($D$30,$I$16:$N$18,5,0)</f>
        <v>3.4574399999999987E-3</v>
      </c>
      <c r="N40" s="131">
        <f>N39*VLOOKUP($D$30,$I$16:$N$18,4,0)</f>
        <v>3.4574399999999987E-3</v>
      </c>
      <c r="O40" s="130">
        <f>E40*VLOOKUP($D$30,$I$16:$N$18,3,0)</f>
        <v>1.2101039999999995E-2</v>
      </c>
      <c r="P40" s="129"/>
      <c r="Q40" s="131">
        <f>Q39*VLOOKUP($D$30,$I$16:$N$18,6,0)</f>
        <v>1.7287199999999998E-3</v>
      </c>
      <c r="R40" s="131">
        <f>R39*VLOOKUP($D$30,$I$16:$N$18,6,0)</f>
        <v>3.4574399999999996E-3</v>
      </c>
      <c r="S40" s="131">
        <f>S39*VLOOKUP($D$30,$I$16:$N$18,5,0)</f>
        <v>3.4574399999999996E-3</v>
      </c>
      <c r="T40" s="131">
        <f>T39*VLOOKUP($D$30,$I$16:$N$18,4,0)</f>
        <v>3.4574399999999991E-3</v>
      </c>
      <c r="U40" s="132">
        <f>F40*VLOOKUP($D$30,$I$16:$N$18,3,0)</f>
        <v>1.2101039999999997E-2</v>
      </c>
      <c r="V40" s="129"/>
      <c r="W40" s="129"/>
      <c r="X40" s="131">
        <f>X39*VLOOKUP($D$30,$I$16:$N$18,6,0)</f>
        <v>1.7287199999999993E-3</v>
      </c>
      <c r="Y40" s="131">
        <f>Y39*VLOOKUP($D$30,$I$16:$N$18,5,0)</f>
        <v>3.4574399999999987E-3</v>
      </c>
      <c r="Z40" s="131">
        <f>Z39*VLOOKUP($D$30,$I$16:$N$18,4,0)</f>
        <v>3.4574399999999987E-3</v>
      </c>
      <c r="AA40" s="133">
        <f>G40*VLOOKUP($D$30,$I$16:$N$18,3,0)</f>
        <v>1.2101039999999995E-2</v>
      </c>
      <c r="AB40" s="135"/>
      <c r="AC40" s="129"/>
      <c r="AD40" s="129"/>
      <c r="AE40" s="131">
        <f>AE39*VLOOKUP($D$30,$I$16:$N$18,5,0)</f>
        <v>1.7287199999999998E-3</v>
      </c>
      <c r="AF40" s="131">
        <f>AF39*VLOOKUP($D$30,$I$16:$N$18,4,0)</f>
        <v>3.4574399999999991E-3</v>
      </c>
      <c r="AG40" s="134">
        <f>H40*VLOOKUP($D$30,$I$16:$N$18,3,0)</f>
        <v>1.2101039999999997E-2</v>
      </c>
      <c r="AH40" s="129"/>
      <c r="AI40" s="129"/>
      <c r="AJ40" s="129"/>
      <c r="AK40" s="129"/>
      <c r="AL40" s="131">
        <f>AL39*VLOOKUP($D$30,$I$16:$N$18,4,0)</f>
        <v>1.7287199999999993E-3</v>
      </c>
      <c r="AM40" s="137">
        <f>I40*VLOOKUP($D$30,$I$16:$N$18,3,0)</f>
        <v>1.2101039999999995E-2</v>
      </c>
      <c r="AN40" s="135"/>
      <c r="AO40" s="129"/>
      <c r="AP40" s="129"/>
      <c r="AQ40" s="4"/>
      <c r="AR40" s="271"/>
    </row>
    <row r="41" spans="2:44" x14ac:dyDescent="0.3">
      <c r="B41" s="105">
        <f>(P41+V41+AB41+AH41+AN41)/4</f>
        <v>1.0588409999999996E-2</v>
      </c>
      <c r="C41" s="129">
        <v>7</v>
      </c>
      <c r="D41" s="129"/>
      <c r="E41" s="131">
        <f>E40*VLOOKUP($D$30,$I$16:$N$18,6,0)</f>
        <v>1.4117879999999994E-2</v>
      </c>
      <c r="F41" s="131">
        <f>F40*VLOOKUP($D$30,$I$16:$N$18,6,0)</f>
        <v>1.4117879999999996E-2</v>
      </c>
      <c r="G41" s="131">
        <f>G40*VLOOKUP($D$30,$I$16:$N$18,6,0)</f>
        <v>1.4117879999999994E-2</v>
      </c>
      <c r="H41" s="131">
        <f>H40*VLOOKUP($D$30,$I$16:$N$18,6,0)</f>
        <v>1.4117879999999996E-2</v>
      </c>
      <c r="I41" s="131">
        <f>I40*VLOOKUP($D$30,$I$16:$N$18,6,0)</f>
        <v>1.4117879999999994E-2</v>
      </c>
      <c r="J41" s="129"/>
      <c r="K41" s="129"/>
      <c r="L41" s="131">
        <f>L40*VLOOKUP($D$30,$I$16:$N$18,6,0)</f>
        <v>2.4202079999999988E-3</v>
      </c>
      <c r="M41" s="131">
        <f>M40*VLOOKUP($D$30,$I$16:$N$18,6,0)</f>
        <v>2.4202079999999988E-3</v>
      </c>
      <c r="N41" s="131">
        <f>N40*VLOOKUP($D$30,$I$16:$N$18,5,0)</f>
        <v>2.4202079999999988E-3</v>
      </c>
      <c r="O41" s="131">
        <f>O40*VLOOKUP($D$30,$I$16:$N$18,4,0)</f>
        <v>2.4202079999999992E-3</v>
      </c>
      <c r="P41" s="130">
        <f>E41*VLOOKUP($D$30,$I$16:$N$18,3,0)</f>
        <v>8.4707279999999968E-3</v>
      </c>
      <c r="Q41" s="129"/>
      <c r="R41" s="131">
        <f>R40*VLOOKUP($D$30,$I$16:$N$18,6,0)</f>
        <v>2.4202079999999996E-3</v>
      </c>
      <c r="S41" s="131">
        <f>S40*VLOOKUP($D$30,$I$16:$N$18,6,0)</f>
        <v>2.4202079999999996E-3</v>
      </c>
      <c r="T41" s="131">
        <f>T40*VLOOKUP($D$30,$I$16:$N$18,5,0)</f>
        <v>2.4202079999999992E-3</v>
      </c>
      <c r="U41" s="131">
        <f>U40*VLOOKUP($D$30,$I$16:$N$18,4,0)</f>
        <v>2.4202079999999996E-3</v>
      </c>
      <c r="V41" s="132">
        <f>F41*VLOOKUP($D$30,$I$16:$N$18,3,0)</f>
        <v>8.4707279999999968E-3</v>
      </c>
      <c r="W41" s="129"/>
      <c r="X41" s="131">
        <f>X40*VLOOKUP($D$30,$I$16:$N$18,6,0)</f>
        <v>1.2101039999999994E-3</v>
      </c>
      <c r="Y41" s="131">
        <f>Y40*VLOOKUP($D$30,$I$16:$N$18,6,0)</f>
        <v>2.4202079999999988E-3</v>
      </c>
      <c r="Z41" s="131">
        <f>Z40*VLOOKUP($D$30,$I$16:$N$18,5,0)</f>
        <v>2.4202079999999988E-3</v>
      </c>
      <c r="AA41" s="131">
        <f>AA40*VLOOKUP($D$30,$I$16:$N$18,4,0)</f>
        <v>2.4202079999999992E-3</v>
      </c>
      <c r="AB41" s="133">
        <f>G41*VLOOKUP($D$30,$I$16:$N$18,3,0)</f>
        <v>8.4707279999999968E-3</v>
      </c>
      <c r="AC41" s="129"/>
      <c r="AD41" s="129"/>
      <c r="AE41" s="131">
        <f>AE40*VLOOKUP($D$30,$I$16:$N$18,6,0)</f>
        <v>1.2101039999999998E-3</v>
      </c>
      <c r="AF41" s="131">
        <f>AF40*VLOOKUP($D$30,$I$16:$N$18,5,0)</f>
        <v>2.4202079999999992E-3</v>
      </c>
      <c r="AG41" s="131">
        <f>AG40*VLOOKUP($D$30,$I$16:$N$18,4,0)</f>
        <v>2.4202079999999996E-3</v>
      </c>
      <c r="AH41" s="134">
        <f>H41*VLOOKUP($D$30,$I$16:$N$18,3,0)</f>
        <v>8.4707279999999968E-3</v>
      </c>
      <c r="AI41" s="129"/>
      <c r="AJ41" s="129"/>
      <c r="AK41" s="129"/>
      <c r="AL41" s="131">
        <f>AL40*VLOOKUP($D$30,$I$16:$N$18,5,0)</f>
        <v>1.2101039999999994E-3</v>
      </c>
      <c r="AM41" s="131">
        <f>AM40*VLOOKUP($D$30,$I$16:$N$18,4,0)</f>
        <v>2.4202079999999992E-3</v>
      </c>
      <c r="AN41" s="137">
        <f>I41*VLOOKUP($D$30,$I$16:$N$18,3,0)</f>
        <v>8.4707279999999968E-3</v>
      </c>
      <c r="AO41" s="135"/>
      <c r="AP41" s="129"/>
      <c r="AQ41" s="4"/>
      <c r="AR41" s="271"/>
    </row>
    <row r="42" spans="2:44" x14ac:dyDescent="0.3">
      <c r="B42" s="105">
        <f>(W42+AC42+AI42+AO42)/4</f>
        <v>5.9295095999999971E-3</v>
      </c>
      <c r="C42" s="129">
        <v>8</v>
      </c>
      <c r="D42" s="129"/>
      <c r="E42" s="129"/>
      <c r="F42" s="131">
        <f>F41*VLOOKUP($D$30,$I$16:$N$18,6,0)</f>
        <v>9.8825159999999957E-3</v>
      </c>
      <c r="G42" s="131">
        <f>G41*VLOOKUP($D$30,$I$16:$N$18,6,0)</f>
        <v>9.8825159999999957E-3</v>
      </c>
      <c r="H42" s="131">
        <f>H41*VLOOKUP($D$30,$I$16:$N$18,6,0)</f>
        <v>9.8825159999999957E-3</v>
      </c>
      <c r="I42" s="131">
        <f>I41*VLOOKUP($D$30,$I$16:$N$18,6,0)</f>
        <v>9.8825159999999957E-3</v>
      </c>
      <c r="J42" s="129"/>
      <c r="K42" s="129"/>
      <c r="L42" s="129"/>
      <c r="M42" s="131">
        <f>M41*VLOOKUP($D$30,$I$16:$N$18,6,0)</f>
        <v>1.6941455999999991E-3</v>
      </c>
      <c r="N42" s="131">
        <f>N41*VLOOKUP($D$30,$I$16:$N$18,6,0)</f>
        <v>1.6941455999999991E-3</v>
      </c>
      <c r="O42" s="131">
        <f>O41*VLOOKUP($D$30,$I$16:$N$18,5,0)</f>
        <v>1.6941455999999993E-3</v>
      </c>
      <c r="P42" s="131">
        <f>P41*VLOOKUP($D$30,$I$16:$N$18,4,0)</f>
        <v>1.6941455999999995E-3</v>
      </c>
      <c r="Q42" s="129"/>
      <c r="R42" s="129"/>
      <c r="S42" s="131">
        <f>S41*VLOOKUP($D$30,$I$16:$N$18,6,0)</f>
        <v>1.6941455999999998E-3</v>
      </c>
      <c r="T42" s="131">
        <f>T41*VLOOKUP($D$30,$I$16:$N$18,6,0)</f>
        <v>1.6941455999999993E-3</v>
      </c>
      <c r="U42" s="131">
        <f>U41*VLOOKUP($D$30,$I$16:$N$18,5,0)</f>
        <v>1.6941455999999998E-3</v>
      </c>
      <c r="V42" s="131">
        <f>V41*VLOOKUP($D$30,$I$16:$N$18,4,0)</f>
        <v>1.6941455999999995E-3</v>
      </c>
      <c r="W42" s="132">
        <f>F42*VLOOKUP($D$30,$I$16:$N$18,3,0)</f>
        <v>5.9295095999999971E-3</v>
      </c>
      <c r="X42" s="129"/>
      <c r="Y42" s="131">
        <f>Y41*VLOOKUP($D$30,$I$16:$N$18,6,0)</f>
        <v>1.6941455999999991E-3</v>
      </c>
      <c r="Z42" s="131">
        <f>Z41*VLOOKUP($D$30,$I$16:$N$18,6,0)</f>
        <v>1.6941455999999991E-3</v>
      </c>
      <c r="AA42" s="131">
        <f>AA41*VLOOKUP($D$30,$I$16:$N$18,5,0)</f>
        <v>1.6941455999999993E-3</v>
      </c>
      <c r="AB42" s="131">
        <f>AB41*VLOOKUP($D$30,$I$16:$N$18,4,0)</f>
        <v>1.6941455999999995E-3</v>
      </c>
      <c r="AC42" s="133">
        <f>G42*VLOOKUP($D$30,$I$16:$N$18,3,0)</f>
        <v>5.9295095999999971E-3</v>
      </c>
      <c r="AD42" s="129"/>
      <c r="AE42" s="131">
        <f>AE41*VLOOKUP($D$30,$I$16:$N$18,6,0)</f>
        <v>8.4707279999999988E-4</v>
      </c>
      <c r="AF42" s="131">
        <f>AF41*VLOOKUP($D$30,$I$16:$N$18,6,0)</f>
        <v>1.6941455999999993E-3</v>
      </c>
      <c r="AG42" s="131">
        <f>AG41*VLOOKUP($D$30,$I$16:$N$18,5,0)</f>
        <v>1.6941455999999998E-3</v>
      </c>
      <c r="AH42" s="131">
        <f>AH41*VLOOKUP($D$30,$I$16:$N$18,4,0)</f>
        <v>1.6941455999999995E-3</v>
      </c>
      <c r="AI42" s="134">
        <f>H42*VLOOKUP($D$30,$I$16:$N$18,3,0)</f>
        <v>5.9295095999999971E-3</v>
      </c>
      <c r="AJ42" s="129"/>
      <c r="AK42" s="129"/>
      <c r="AL42" s="131">
        <f>AL41*VLOOKUP($D$30,$I$16:$N$18,6,0)</f>
        <v>8.4707279999999955E-4</v>
      </c>
      <c r="AM42" s="131">
        <f>AM41*VLOOKUP($D$30,$I$16:$N$18,5,0)</f>
        <v>1.6941455999999993E-3</v>
      </c>
      <c r="AN42" s="131">
        <f>AN41*VLOOKUP($D$30,$I$16:$N$18,4,0)</f>
        <v>1.6941455999999995E-3</v>
      </c>
      <c r="AO42" s="137">
        <f>I42*VLOOKUP($D$30,$I$16:$N$18,3,0)</f>
        <v>5.9295095999999971E-3</v>
      </c>
      <c r="AP42" s="135"/>
      <c r="AQ42" s="4"/>
      <c r="AR42" s="271"/>
    </row>
    <row r="43" spans="2:44" x14ac:dyDescent="0.3">
      <c r="B43" s="105">
        <f>(AD43+AJ43+AP43)/4</f>
        <v>3.1129925399999985E-3</v>
      </c>
      <c r="C43" s="129">
        <v>9</v>
      </c>
      <c r="D43" s="129"/>
      <c r="E43" s="136"/>
      <c r="F43" s="129"/>
      <c r="G43" s="131">
        <f>G42*VLOOKUP($D$30,$I$16:$N$18,6,0)</f>
        <v>6.9177611999999963E-3</v>
      </c>
      <c r="H43" s="131">
        <f>H42*VLOOKUP($D$30,$I$16:$N$18,6,0)</f>
        <v>6.9177611999999963E-3</v>
      </c>
      <c r="I43" s="131">
        <f>I42*VLOOKUP($D$30,$I$16:$N$18,6,0)</f>
        <v>6.9177611999999963E-3</v>
      </c>
      <c r="J43" s="129"/>
      <c r="K43" s="129"/>
      <c r="L43" s="129"/>
      <c r="M43" s="129"/>
      <c r="N43" s="131">
        <f>N42*VLOOKUP($D$30,$I$16:$N$18,6,0)</f>
        <v>1.1859019199999992E-3</v>
      </c>
      <c r="O43" s="131">
        <f>O42*VLOOKUP($D$30,$I$16:$N$18,6,0)</f>
        <v>1.1859019199999994E-3</v>
      </c>
      <c r="P43" s="131">
        <f>P42*VLOOKUP($D$30,$I$16:$N$18,5,0)</f>
        <v>1.1859019199999996E-3</v>
      </c>
      <c r="Q43" s="129"/>
      <c r="R43" s="129"/>
      <c r="S43" s="129"/>
      <c r="T43" s="131">
        <f>T42*VLOOKUP($D$30,$I$16:$N$18,6,0)</f>
        <v>1.1859019199999994E-3</v>
      </c>
      <c r="U43" s="131">
        <f>U42*VLOOKUP($D$30,$I$16:$N$18,6,0)</f>
        <v>1.1859019199999998E-3</v>
      </c>
      <c r="V43" s="131">
        <f>V42*VLOOKUP($D$30,$I$16:$N$18,5,0)</f>
        <v>1.1859019199999996E-3</v>
      </c>
      <c r="W43" s="131">
        <f>W42*VLOOKUP($D$30,$I$16:$N$18,4,0)</f>
        <v>1.1859019199999994E-3</v>
      </c>
      <c r="X43" s="129"/>
      <c r="Y43" s="129"/>
      <c r="Z43" s="131">
        <f>Z42*VLOOKUP($D$30,$I$16:$N$18,6,0)</f>
        <v>1.1859019199999992E-3</v>
      </c>
      <c r="AA43" s="131">
        <f>AA42*VLOOKUP($D$30,$I$16:$N$18,6,0)</f>
        <v>1.1859019199999994E-3</v>
      </c>
      <c r="AB43" s="131">
        <f>AB42*VLOOKUP($D$30,$I$16:$N$18,5,0)</f>
        <v>1.1859019199999996E-3</v>
      </c>
      <c r="AC43" s="131">
        <f>AC42*VLOOKUP($D$30,$I$16:$N$18,4,0)</f>
        <v>1.1859019199999994E-3</v>
      </c>
      <c r="AD43" s="133">
        <f>G43*VLOOKUP($D$30,$I$16:$N$18,3,0)</f>
        <v>4.150656719999998E-3</v>
      </c>
      <c r="AE43" s="129"/>
      <c r="AF43" s="131">
        <f>AF42*VLOOKUP($D$30,$I$16:$N$18,6,0)</f>
        <v>1.1859019199999994E-3</v>
      </c>
      <c r="AG43" s="131">
        <f>AG42*VLOOKUP($D$30,$I$16:$N$18,6,0)</f>
        <v>1.1859019199999998E-3</v>
      </c>
      <c r="AH43" s="131">
        <f>AH42*VLOOKUP($D$30,$I$16:$N$18,5,0)</f>
        <v>1.1859019199999996E-3</v>
      </c>
      <c r="AI43" s="131">
        <f>AI42*VLOOKUP($D$30,$I$16:$N$18,4,0)</f>
        <v>1.1859019199999994E-3</v>
      </c>
      <c r="AJ43" s="134">
        <f>H43*VLOOKUP($D$30,$I$16:$N$18,3,0)</f>
        <v>4.150656719999998E-3</v>
      </c>
      <c r="AK43" s="129"/>
      <c r="AL43" s="129">
        <f>AL42*VLOOKUP($D$30,$I$16:$N$18,6,0)</f>
        <v>5.929509599999996E-4</v>
      </c>
      <c r="AM43" s="131">
        <f>AM42*VLOOKUP($D$30,$I$16:$N$18,6,0)</f>
        <v>1.1859019199999994E-3</v>
      </c>
      <c r="AN43" s="131">
        <f>AN42*VLOOKUP($D$30,$I$16:$N$18,5,0)</f>
        <v>1.1859019199999996E-3</v>
      </c>
      <c r="AO43" s="131">
        <f>AO42*VLOOKUP($D$30,$I$16:$N$18,4,0)</f>
        <v>1.1859019199999994E-3</v>
      </c>
      <c r="AP43" s="137">
        <f>I43*VLOOKUP($D$30,$I$16:$N$18,3,0)</f>
        <v>4.150656719999998E-3</v>
      </c>
      <c r="AQ43" s="4"/>
      <c r="AR43" s="271"/>
    </row>
    <row r="44" spans="2:44" x14ac:dyDescent="0.3">
      <c r="B44" s="105">
        <f>(AK44+AQ44)/4</f>
        <v>1.4527298519999992E-3</v>
      </c>
      <c r="C44" s="129">
        <v>10</v>
      </c>
      <c r="D44" s="129"/>
      <c r="E44" s="129"/>
      <c r="F44" s="129"/>
      <c r="G44" s="129"/>
      <c r="H44" s="131">
        <f>H43*VLOOKUP($D$30,$I$16:$N$18,6,0)</f>
        <v>4.8424328399999973E-3</v>
      </c>
      <c r="I44" s="131">
        <f>I43*VLOOKUP($D$30,$I$16:$N$18,6,0)</f>
        <v>4.8424328399999973E-3</v>
      </c>
      <c r="J44" s="129"/>
      <c r="K44" s="129"/>
      <c r="L44" s="129"/>
      <c r="M44" s="129"/>
      <c r="N44" s="129"/>
      <c r="O44" s="131">
        <f>O43*VLOOKUP($D$30,$I$16:$N$18,6,0)</f>
        <v>8.301313439999995E-4</v>
      </c>
      <c r="P44" s="131">
        <f>P43*VLOOKUP($D$30,$I$16:$N$18,6,0)</f>
        <v>8.3013134399999972E-4</v>
      </c>
      <c r="Q44" s="129"/>
      <c r="R44" s="129"/>
      <c r="S44" s="129"/>
      <c r="T44" s="129"/>
      <c r="U44" s="131">
        <f>U43*VLOOKUP($D$30,$I$16:$N$18,6,0)</f>
        <v>8.3013134399999983E-4</v>
      </c>
      <c r="V44" s="131">
        <f>V43*VLOOKUP($D$30,$I$16:$N$18,6,0)</f>
        <v>8.3013134399999972E-4</v>
      </c>
      <c r="W44" s="131">
        <f>W43*VLOOKUP($D$30,$I$16:$N$18,5,0)</f>
        <v>8.301313439999995E-4</v>
      </c>
      <c r="X44" s="129"/>
      <c r="Y44" s="129"/>
      <c r="Z44" s="129"/>
      <c r="AA44" s="131">
        <f>AA43*VLOOKUP($D$30,$I$16:$N$18,6,0)</f>
        <v>8.301313439999995E-4</v>
      </c>
      <c r="AB44" s="131">
        <f>AB43*VLOOKUP($D$30,$I$16:$N$18,6,0)</f>
        <v>8.3013134399999972E-4</v>
      </c>
      <c r="AC44" s="131">
        <f>AC43*VLOOKUP($D$30,$I$16:$N$18,5,0)</f>
        <v>8.301313439999995E-4</v>
      </c>
      <c r="AD44" s="131">
        <f>AD43*VLOOKUP($D$30,$I$16:$N$18,4,0)</f>
        <v>8.3013134399999961E-4</v>
      </c>
      <c r="AE44" s="129"/>
      <c r="AF44" s="129"/>
      <c r="AG44" s="131">
        <f>AG43*VLOOKUP($D$30,$I$16:$N$18,6,0)</f>
        <v>8.3013134399999983E-4</v>
      </c>
      <c r="AH44" s="131">
        <f>AH43*VLOOKUP($D$30,$I$16:$N$18,6,0)</f>
        <v>8.3013134399999972E-4</v>
      </c>
      <c r="AI44" s="131">
        <f>AI43*VLOOKUP($D$30,$I$16:$N$18,5,0)</f>
        <v>8.301313439999995E-4</v>
      </c>
      <c r="AJ44" s="131">
        <f>AJ43*VLOOKUP($D$30,$I$16:$N$18,4,0)</f>
        <v>8.3013134399999961E-4</v>
      </c>
      <c r="AK44" s="134">
        <f>H44*VLOOKUP($D$30,$I$16:$N$18,3,0)</f>
        <v>2.9054597039999985E-3</v>
      </c>
      <c r="AL44" s="129"/>
      <c r="AM44" s="129">
        <f>AM43*VLOOKUP($D$30,$I$16:$N$18,6,0)</f>
        <v>8.301313439999995E-4</v>
      </c>
      <c r="AN44" s="131">
        <f>AN43*VLOOKUP($D$30,$I$16:$N$18,6,0)</f>
        <v>8.3013134399999972E-4</v>
      </c>
      <c r="AO44" s="131">
        <f>AO43*VLOOKUP($D$30,$I$16:$N$18,5,0)</f>
        <v>8.301313439999995E-4</v>
      </c>
      <c r="AP44" s="131">
        <f>AP43*VLOOKUP($D$30,$I$16:$N$18,4,0)</f>
        <v>8.3013134399999961E-4</v>
      </c>
      <c r="AQ44" s="137">
        <f>I44*VLOOKUP($D$30,$I$16:$N$18,3,0)</f>
        <v>2.9054597039999985E-3</v>
      </c>
      <c r="AR44" s="271"/>
    </row>
    <row r="45" spans="2:44" x14ac:dyDescent="0.3">
      <c r="B45" s="105">
        <f>AR45/4</f>
        <v>5.0845544819999968E-4</v>
      </c>
      <c r="C45" s="129">
        <v>11</v>
      </c>
      <c r="D45" s="129"/>
      <c r="E45" s="129"/>
      <c r="F45" s="129"/>
      <c r="G45" s="129"/>
      <c r="H45" s="129"/>
      <c r="I45" s="131">
        <f>I44*VLOOKUP($D$30,$I$16:$N$18,6,0)</f>
        <v>3.3897029879999979E-3</v>
      </c>
      <c r="J45" s="129"/>
      <c r="K45" s="129"/>
      <c r="L45" s="129"/>
      <c r="M45" s="129"/>
      <c r="N45" s="129"/>
      <c r="O45" s="129"/>
      <c r="P45" s="131">
        <f>P44*VLOOKUP($D$30,$I$16:$N$18,6,0)</f>
        <v>5.810919407999998E-4</v>
      </c>
      <c r="Q45" s="129"/>
      <c r="R45" s="129"/>
      <c r="S45" s="129"/>
      <c r="T45" s="129"/>
      <c r="U45" s="129"/>
      <c r="V45" s="131">
        <f>V44*VLOOKUP($D$30,$I$16:$N$18,6,0)</f>
        <v>5.810919407999998E-4</v>
      </c>
      <c r="W45" s="131">
        <f>W44*VLOOKUP($D$30,$I$16:$N$18,6,0)</f>
        <v>5.8109194079999959E-4</v>
      </c>
      <c r="X45" s="129"/>
      <c r="Y45" s="129"/>
      <c r="Z45" s="129"/>
      <c r="AA45" s="129"/>
      <c r="AB45" s="131">
        <f>AB44*VLOOKUP($D$30,$I$16:$N$18,6,0)</f>
        <v>5.810919407999998E-4</v>
      </c>
      <c r="AC45" s="131">
        <f>AC44*VLOOKUP($D$30,$I$16:$N$18,6,0)</f>
        <v>5.8109194079999959E-4</v>
      </c>
      <c r="AD45" s="131">
        <f>AD44*VLOOKUP($D$30,$I$16:$N$18,5,0)</f>
        <v>5.810919407999997E-4</v>
      </c>
      <c r="AE45" s="129"/>
      <c r="AF45" s="129"/>
      <c r="AG45" s="129"/>
      <c r="AH45" s="131">
        <f>AH44*VLOOKUP($D$30,$I$16:$N$18,6,0)</f>
        <v>5.810919407999998E-4</v>
      </c>
      <c r="AI45" s="131">
        <f>AI44*VLOOKUP($D$30,$I$16:$N$18,6,0)</f>
        <v>5.8109194079999959E-4</v>
      </c>
      <c r="AJ45" s="131">
        <f>AJ44*VLOOKUP($D$30,$I$16:$N$18,5,0)</f>
        <v>5.810919407999997E-4</v>
      </c>
      <c r="AK45" s="131">
        <f>AK44*VLOOKUP($D$30,$I$16:$N$18,4,0)</f>
        <v>5.810919407999997E-4</v>
      </c>
      <c r="AL45" s="129"/>
      <c r="AM45" s="129"/>
      <c r="AN45" s="129">
        <f>AN44*VLOOKUP($D$30,$I$16:$N$18,6,0)</f>
        <v>5.810919407999998E-4</v>
      </c>
      <c r="AO45" s="131">
        <f>AO44*VLOOKUP($D$30,$I$16:$N$18,6,0)</f>
        <v>5.8109194079999959E-4</v>
      </c>
      <c r="AP45" s="131">
        <f>AP44*VLOOKUP($D$30,$I$16:$N$18,5,0)</f>
        <v>5.810919407999997E-4</v>
      </c>
      <c r="AQ45" s="131">
        <f>AQ44*VLOOKUP($D$30,$I$16:$N$18,4,0)</f>
        <v>5.810919407999997E-4</v>
      </c>
      <c r="AR45" s="280">
        <f>I45*VLOOKUP($D$30,$I$16:$N$18,3,0)</f>
        <v>2.0338217927999987E-3</v>
      </c>
    </row>
    <row r="46" spans="2:44" x14ac:dyDescent="0.3">
      <c r="B46" s="105"/>
      <c r="C46" s="129"/>
      <c r="D46" s="293"/>
      <c r="E46" s="129"/>
      <c r="F46" s="129"/>
      <c r="G46" s="129"/>
      <c r="H46" s="129"/>
      <c r="I46" s="129"/>
      <c r="J46" s="129"/>
      <c r="K46" s="129"/>
      <c r="L46" s="129"/>
      <c r="M46" s="129"/>
      <c r="N46" s="129"/>
      <c r="O46" s="129"/>
      <c r="P46" s="129"/>
      <c r="Q46" s="129"/>
      <c r="R46" s="129"/>
      <c r="S46" s="129"/>
      <c r="T46" s="129"/>
      <c r="U46" s="129"/>
      <c r="V46" s="129"/>
      <c r="W46" s="131">
        <f>W45*VLOOKUP($D$30,$I$16:$N$18,6,0)</f>
        <v>4.0676435855999967E-4</v>
      </c>
      <c r="X46" s="129"/>
      <c r="Y46" s="129"/>
      <c r="Z46" s="129"/>
      <c r="AA46" s="129"/>
      <c r="AB46" s="129"/>
      <c r="AC46" s="131">
        <f>AC45*VLOOKUP($D$30,$I$16:$N$18,6,0)</f>
        <v>4.0676435855999967E-4</v>
      </c>
      <c r="AD46" s="131">
        <f>AD45*VLOOKUP($D$30,$I$16:$N$18,6,0)</f>
        <v>4.0676435855999978E-4</v>
      </c>
      <c r="AE46" s="129"/>
      <c r="AF46" s="129"/>
      <c r="AG46" s="129"/>
      <c r="AH46" s="129"/>
      <c r="AI46" s="131">
        <f>AI45*VLOOKUP($D$30,$I$16:$N$18,6,0)</f>
        <v>4.0676435855999967E-4</v>
      </c>
      <c r="AJ46" s="131">
        <f>AJ45*VLOOKUP($D$30,$I$16:$N$18,6,0)</f>
        <v>4.0676435855999978E-4</v>
      </c>
      <c r="AK46" s="131">
        <f>AK45*VLOOKUP($D$30,$I$16:$N$18,5,0)</f>
        <v>4.0676435855999978E-4</v>
      </c>
      <c r="AL46" s="129"/>
      <c r="AM46" s="129"/>
      <c r="AN46" s="129"/>
      <c r="AO46" s="129">
        <f>AO45*VLOOKUP($D$30,$I$16:$N$18,6,0)</f>
        <v>4.0676435855999967E-4</v>
      </c>
      <c r="AP46" s="131">
        <f>AP45*VLOOKUP($D$30,$I$16:$N$18,6,0)</f>
        <v>4.0676435855999978E-4</v>
      </c>
      <c r="AQ46" s="131">
        <f>AQ45*VLOOKUP($D$30,$I$16:$N$18,5,0)</f>
        <v>4.0676435855999978E-4</v>
      </c>
      <c r="AR46" s="281">
        <f>AR45*VLOOKUP($D$30,$I$16:$N$18,4,0)</f>
        <v>4.0676435855999978E-4</v>
      </c>
    </row>
    <row r="47" spans="2:44" x14ac:dyDescent="0.3">
      <c r="B47" s="6"/>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31">
        <f>AD46*VLOOKUP($D$30,$I$16:$N$18,6,0)</f>
        <v>2.8473505099199984E-4</v>
      </c>
      <c r="AE47" s="129"/>
      <c r="AF47" s="129"/>
      <c r="AG47" s="129"/>
      <c r="AH47" s="129"/>
      <c r="AI47" s="129"/>
      <c r="AJ47" s="131">
        <f>AJ46*VLOOKUP($D$30,$I$16:$N$18,6,0)</f>
        <v>2.8473505099199984E-4</v>
      </c>
      <c r="AK47" s="131">
        <f>AK46*VLOOKUP($D$30,$I$16:$N$18,6,0)</f>
        <v>2.8473505099199984E-4</v>
      </c>
      <c r="AL47" s="4"/>
      <c r="AM47" s="4"/>
      <c r="AN47" s="4"/>
      <c r="AO47" s="4"/>
      <c r="AP47" s="135">
        <f>AP46*VLOOKUP($D$30,$I$16:$N$18,6,0)</f>
        <v>2.8473505099199984E-4</v>
      </c>
      <c r="AQ47" s="131">
        <f>AQ46*VLOOKUP($D$30,$I$16:$N$18,6,0)</f>
        <v>2.8473505099199984E-4</v>
      </c>
      <c r="AR47" s="281">
        <f>AR46*VLOOKUP($D$30,$I$16:$N$18,5,0)</f>
        <v>2.8473505099199984E-4</v>
      </c>
    </row>
    <row r="48" spans="2:44" x14ac:dyDescent="0.3">
      <c r="B48" s="6"/>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31">
        <f>AK47*VLOOKUP($D$30,$I$16:$N$18,6,0)</f>
        <v>1.9931453569439989E-4</v>
      </c>
      <c r="AL48" s="4"/>
      <c r="AM48" s="4"/>
      <c r="AN48" s="4"/>
      <c r="AO48" s="4"/>
      <c r="AP48" s="4"/>
      <c r="AQ48" s="135">
        <f>AQ47*VLOOKUP($D$30,$I$16:$N$18,6,0)</f>
        <v>1.9931453569439989E-4</v>
      </c>
      <c r="AR48" s="281">
        <f>AR47*VLOOKUP($D$30,$I$16:$N$18,6,0)</f>
        <v>1.9931453569439989E-4</v>
      </c>
    </row>
    <row r="49" spans="2:44" x14ac:dyDescent="0.3">
      <c r="B49" s="7"/>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277"/>
      <c r="AH49" s="277"/>
      <c r="AI49" s="277"/>
      <c r="AJ49" s="277"/>
      <c r="AK49" s="10"/>
      <c r="AL49" s="277"/>
      <c r="AM49" s="10"/>
      <c r="AN49" s="10"/>
      <c r="AO49" s="10"/>
      <c r="AP49" s="10"/>
      <c r="AQ49" s="10"/>
      <c r="AR49" s="278">
        <f>AR48*VLOOKUP($D$30,$I$16:$N$18,6,0)</f>
        <v>1.395201749860799E-4</v>
      </c>
    </row>
    <row r="50" spans="2:44" x14ac:dyDescent="0.3">
      <c r="B50" s="295">
        <f>SUM(B34:B45)</f>
        <v>0.95965549744019996</v>
      </c>
      <c r="C50" s="296"/>
      <c r="D50" s="297">
        <f>SUM(D34:D44)</f>
        <v>2.7730999999999999</v>
      </c>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6"/>
      <c r="AN50" s="296"/>
      <c r="AO50" s="296"/>
      <c r="AP50" s="296"/>
      <c r="AQ50" s="296"/>
      <c r="AR50" s="2"/>
    </row>
    <row r="54" spans="2:44" x14ac:dyDescent="0.3">
      <c r="E54" t="s">
        <v>112</v>
      </c>
      <c r="F54" s="129"/>
    </row>
    <row r="55" spans="2:44" x14ac:dyDescent="0.3">
      <c r="E55" s="130">
        <v>0.60139799999999999</v>
      </c>
      <c r="F55" s="129" t="s">
        <v>110</v>
      </c>
    </row>
    <row r="56" spans="2:44" x14ac:dyDescent="0.3">
      <c r="E56" s="131">
        <v>0.38241696023999999</v>
      </c>
      <c r="F56" t="s">
        <v>111</v>
      </c>
    </row>
    <row r="57" spans="2:44" x14ac:dyDescent="0.3">
      <c r="E57" s="131">
        <v>0.26635951082800796</v>
      </c>
      <c r="F57" t="s">
        <v>113</v>
      </c>
    </row>
    <row r="58" spans="2:44" x14ac:dyDescent="0.3">
      <c r="E58" s="131">
        <v>0.23247891240191679</v>
      </c>
    </row>
    <row r="59" spans="2:44" x14ac:dyDescent="0.3">
      <c r="E59" s="131">
        <v>0.20290788394815998</v>
      </c>
    </row>
    <row r="60" spans="2:44" x14ac:dyDescent="0.3">
      <c r="E60" s="131">
        <v>0.17709825352736164</v>
      </c>
    </row>
    <row r="61" spans="2:44" x14ac:dyDescent="0.3">
      <c r="E61" s="131">
        <v>0.15452318082789854</v>
      </c>
    </row>
  </sheetData>
  <sheetProtection algorithmName="SHA-512" hashValue="npu7U+dsVAnDLGvsrKT9jvjYTtQVt3gNWYh8BWwHYbKMBApej/fwfdJ3fHVxvawsJQ4Fa3QLl06INJ5Y8Py4LA==" saltValue="/cBQjTtRUoxh5WwihlypcQ==" spinCount="100000" sheet="1" objects="1" scenarios="1"/>
  <mergeCells count="2">
    <mergeCell ref="J14:K14"/>
    <mergeCell ref="L14:N14"/>
  </mergeCells>
  <phoneticPr fontId="0" type="noConversion"/>
  <pageMargins left="0.7" right="0.7" top="0.75" bottom="0.75" header="0.3" footer="0.3"/>
  <pageSetup paperSize="26" orientation="portrait" horizontalDpi="4294967293" verticalDpi="52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Instructions</vt:lpstr>
      <vt:lpstr>Conceptual Model</vt:lpstr>
      <vt:lpstr>Mit-WinHabPrt</vt:lpstr>
      <vt:lpstr>Mit-SumHabPrt</vt:lpstr>
      <vt:lpstr>Mit-SumHabRst</vt:lpstr>
      <vt:lpstr>Impacts</vt:lpstr>
      <vt:lpstr>Services</vt:lpstr>
      <vt:lpstr>Parameter Sets</vt:lpstr>
      <vt:lpstr>BrAnnSurvival</vt:lpstr>
      <vt:lpstr>cavelookup</vt:lpstr>
      <vt:lpstr>endyr</vt:lpstr>
      <vt:lpstr>fbreedrate</vt:lpstr>
      <vt:lpstr>firstgen</vt:lpstr>
      <vt:lpstr>firstgenfull</vt:lpstr>
      <vt:lpstr>FirstYrSurvival</vt:lpstr>
      <vt:lpstr>incidentyr</vt:lpstr>
      <vt:lpstr>injpop</vt:lpstr>
      <vt:lpstr>jfbreedrate</vt:lpstr>
      <vt:lpstr>JuvenileSurvival</vt:lpstr>
      <vt:lpstr>projyrs</vt:lpstr>
      <vt:lpstr>secondgen</vt:lpstr>
      <vt:lpstr>secondgenfull</vt:lpstr>
      <vt:lpstr>xhardage</vt:lpstr>
      <vt:lpstr>xhardp</vt:lpstr>
      <vt:lpstr>xsoftage</vt:lpstr>
      <vt:lpstr>xsoftp</vt:lpstr>
    </vt:vector>
  </TitlesOfParts>
  <Company>U.S. Fish &amp; Wildlife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alaughland</dc:creator>
  <cp:lastModifiedBy>Reed, Marissa</cp:lastModifiedBy>
  <cp:lastPrinted>2012-07-24T16:50:15Z</cp:lastPrinted>
  <dcterms:created xsi:type="dcterms:W3CDTF">2012-01-11T19:16:49Z</dcterms:created>
  <dcterms:modified xsi:type="dcterms:W3CDTF">2021-11-05T14:51:11Z</dcterms:modified>
</cp:coreProperties>
</file>