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MReed\Desktop\INFO Wind Energy Consultation\"/>
    </mc:Choice>
  </mc:AlternateContent>
  <xr:revisionPtr revIDLastSave="0" documentId="13_ncr:1_{7B52C8B3-F0B4-4CF5-B2A9-4FE6AE857165}" xr6:coauthVersionLast="46" xr6:coauthVersionMax="46" xr10:uidLastSave="{00000000-0000-0000-0000-000000000000}"/>
  <bookViews>
    <workbookView xWindow="-108" yWindow="-108" windowWidth="23256" windowHeight="12576" tabRatio="691" xr2:uid="{00000000-000D-0000-FFFF-FFFF00000000}"/>
  </bookViews>
  <sheets>
    <sheet name="Instructions" sheetId="12" r:id="rId1"/>
    <sheet name="Conceptual Model" sheetId="11" r:id="rId2"/>
    <sheet name="Mit-WinHabPrt" sheetId="9" r:id="rId3"/>
    <sheet name="Mit-SumHabPrt" sheetId="3" r:id="rId4"/>
    <sheet name="Mit-SumHabRst" sheetId="10" r:id="rId5"/>
    <sheet name="Impacts" sheetId="15" r:id="rId6"/>
    <sheet name="Services" sheetId="1" r:id="rId7"/>
    <sheet name="Parameter Sets" sheetId="2" r:id="rId8"/>
  </sheets>
  <externalReferences>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nalysisYr">[1]Summary!$D$5</definedName>
    <definedName name="BaseYr">[1]Summary!$D$8</definedName>
    <definedName name="BrAnnSurvival">Impacts!$C$17</definedName>
    <definedName name="cavelookup">'Mit-WinHabPrt'!$B$46:$C$49</definedName>
    <definedName name="DiscFactor">[1]Summary!$D$9</definedName>
    <definedName name="endyr">Impacts!$D$6</definedName>
    <definedName name="existing">'Mit-SumHabPrt'!#REF!</definedName>
    <definedName name="fbreedrate">Impacts!$C$11</definedName>
    <definedName name="firstgen">'Parameter Sets'!$C$29</definedName>
    <definedName name="firstgenfull">'Parameter Sets'!$K$6</definedName>
    <definedName name="FirstYrSurvival">Impacts!$C$15</definedName>
    <definedName name="incidentyr">Impacts!$C$6</definedName>
    <definedName name="inflList" hidden="1">"00000000000000000000000000000000000000000000000000000000000000000000000000000000000000000000000000000000000000000000000000000000000000000000000000000000000000000000000000000000000000000000000000000000"</definedName>
    <definedName name="injpop">Impacts!$C$7</definedName>
    <definedName name="jfbreedrate">Impacts!$C$13</definedName>
    <definedName name="JuvenileSurvival">Impacts!$C$16</definedName>
    <definedName name="newpct">'Mit-SumHabPrt'!#REF!</definedName>
    <definedName name="Pal_Workbook_GUID" hidden="1">"Y29Y5J3AEZ334M5M27U95QMF"</definedName>
    <definedName name="Projyr">[1]Summary!$D$6</definedName>
    <definedName name="projyrs">Impacts!$C$8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econdgen">'Parameter Sets'!$C$30</definedName>
    <definedName name="secondgenfull">'Parameter Sets'!$K$8</definedName>
    <definedName name="xcottonage">'Mit-SumHabRst'!$E$20</definedName>
    <definedName name="xcottonp">'Mit-SumHabRst'!$D$20</definedName>
    <definedName name="xhardage">'Mit-SumHabRst'!#REF!</definedName>
    <definedName name="xhardp">'Mit-SumHabRst'!#REF!</definedName>
    <definedName name="xsoftage">'Mit-SumHabRst'!#REF!</definedName>
    <definedName name="xsoftp">'Mit-SumHabRst'!#REF!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3" l="1"/>
  <c r="D11" i="3"/>
  <c r="D10" i="3" s="1"/>
  <c r="D15" i="3"/>
  <c r="D6" i="10" l="1"/>
  <c r="D11" i="10"/>
  <c r="D10" i="9" l="1"/>
  <c r="D11" i="9"/>
  <c r="D8" i="9"/>
  <c r="D17" i="9"/>
  <c r="D16" i="9"/>
  <c r="D15" i="9"/>
  <c r="D18" i="9" s="1"/>
  <c r="D14" i="9"/>
  <c r="D9" i="9" l="1"/>
  <c r="D13" i="9"/>
  <c r="D12" i="9" s="1"/>
  <c r="D20" i="9" l="1"/>
  <c r="C20" i="9" s="1"/>
  <c r="D14" i="10"/>
  <c r="D15" i="10"/>
  <c r="D16" i="10"/>
  <c r="D13" i="10"/>
  <c r="D8" i="10"/>
  <c r="D9" i="10"/>
  <c r="D6" i="3"/>
  <c r="D13" i="3"/>
  <c r="D14" i="3"/>
  <c r="D9" i="3"/>
  <c r="D8" i="3"/>
  <c r="C8" i="1"/>
  <c r="C9" i="1" s="1"/>
  <c r="C10" i="1" s="1"/>
  <c r="Q36" i="10"/>
  <c r="Q37" i="10" s="1"/>
  <c r="R37" i="10" s="1"/>
  <c r="P35" i="10"/>
  <c r="P36" i="10" s="1"/>
  <c r="P37" i="10" s="1"/>
  <c r="P38" i="10" s="1"/>
  <c r="P39" i="10" s="1"/>
  <c r="P40" i="10" s="1"/>
  <c r="P41" i="10" s="1"/>
  <c r="P42" i="10" s="1"/>
  <c r="P43" i="10" s="1"/>
  <c r="P44" i="10" s="1"/>
  <c r="P45" i="10" s="1"/>
  <c r="P46" i="10" s="1"/>
  <c r="P47" i="10" s="1"/>
  <c r="P48" i="10" s="1"/>
  <c r="P49" i="10" s="1"/>
  <c r="P50" i="10" s="1"/>
  <c r="P51" i="10" s="1"/>
  <c r="P52" i="10" s="1"/>
  <c r="P53" i="10" s="1"/>
  <c r="P54" i="10" s="1"/>
  <c r="P55" i="10" s="1"/>
  <c r="P56" i="10" s="1"/>
  <c r="P57" i="10" s="1"/>
  <c r="P58" i="10" s="1"/>
  <c r="P59" i="10" s="1"/>
  <c r="P60" i="10" s="1"/>
  <c r="P61" i="10" s="1"/>
  <c r="P62" i="10" s="1"/>
  <c r="P63" i="10" s="1"/>
  <c r="P64" i="10" s="1"/>
  <c r="P65" i="10" s="1"/>
  <c r="P66" i="10" s="1"/>
  <c r="P67" i="10" s="1"/>
  <c r="P68" i="10" s="1"/>
  <c r="P69" i="10" s="1"/>
  <c r="P70" i="10" s="1"/>
  <c r="P71" i="10" s="1"/>
  <c r="P72" i="10" s="1"/>
  <c r="P73" i="10" s="1"/>
  <c r="P74" i="10" s="1"/>
  <c r="P75" i="10" s="1"/>
  <c r="P76" i="10" s="1"/>
  <c r="P77" i="10" s="1"/>
  <c r="P78" i="10" s="1"/>
  <c r="P79" i="10" s="1"/>
  <c r="P80" i="10" s="1"/>
  <c r="P81" i="10" s="1"/>
  <c r="P82" i="10" s="1"/>
  <c r="P83" i="10" s="1"/>
  <c r="P84" i="10" s="1"/>
  <c r="P85" i="10" s="1"/>
  <c r="P86" i="10" s="1"/>
  <c r="P87" i="10" s="1"/>
  <c r="P88" i="10" s="1"/>
  <c r="P89" i="10" s="1"/>
  <c r="P90" i="10" s="1"/>
  <c r="P91" i="10" s="1"/>
  <c r="P92" i="10" s="1"/>
  <c r="P93" i="10" s="1"/>
  <c r="P94" i="10" s="1"/>
  <c r="P95" i="10" s="1"/>
  <c r="P96" i="10" s="1"/>
  <c r="P97" i="10" s="1"/>
  <c r="P98" i="10" s="1"/>
  <c r="P99" i="10" s="1"/>
  <c r="P100" i="10" s="1"/>
  <c r="P101" i="10" s="1"/>
  <c r="P102" i="10" s="1"/>
  <c r="P103" i="10" s="1"/>
  <c r="P104" i="10" s="1"/>
  <c r="P105" i="10" s="1"/>
  <c r="P106" i="10" s="1"/>
  <c r="P107" i="10" s="1"/>
  <c r="P108" i="10" s="1"/>
  <c r="P109" i="10" s="1"/>
  <c r="P110" i="10" s="1"/>
  <c r="P111" i="10" s="1"/>
  <c r="P112" i="10" s="1"/>
  <c r="P113" i="10" s="1"/>
  <c r="P114" i="10" s="1"/>
  <c r="P115" i="10" s="1"/>
  <c r="P116" i="10" s="1"/>
  <c r="P117" i="10" s="1"/>
  <c r="P118" i="10" s="1"/>
  <c r="P119" i="10" s="1"/>
  <c r="P120" i="10" s="1"/>
  <c r="P121" i="10" s="1"/>
  <c r="P122" i="10" s="1"/>
  <c r="P123" i="10" s="1"/>
  <c r="P124" i="10" s="1"/>
  <c r="P125" i="10" s="1"/>
  <c r="P126" i="10" s="1"/>
  <c r="P127" i="10" s="1"/>
  <c r="P128" i="10" s="1"/>
  <c r="P129" i="10" s="1"/>
  <c r="P130" i="10" s="1"/>
  <c r="P131" i="10" s="1"/>
  <c r="P132" i="10" s="1"/>
  <c r="P133" i="10" s="1"/>
  <c r="P134" i="10" s="1"/>
  <c r="R35" i="10"/>
  <c r="D6" i="15"/>
  <c r="D8" i="15" s="1"/>
  <c r="D22" i="2"/>
  <c r="K14" i="2" s="1"/>
  <c r="D29" i="2"/>
  <c r="D26" i="2"/>
  <c r="N14" i="2" s="1"/>
  <c r="D24" i="2"/>
  <c r="L14" i="2" s="1"/>
  <c r="D25" i="2"/>
  <c r="M14" i="2"/>
  <c r="D21" i="2"/>
  <c r="J14" i="2" s="1"/>
  <c r="E21" i="2"/>
  <c r="J15" i="2" s="1"/>
  <c r="C12" i="15" s="1"/>
  <c r="C13" i="15" s="1"/>
  <c r="E22" i="2"/>
  <c r="K15" i="2" s="1"/>
  <c r="E24" i="2"/>
  <c r="L15" i="2" s="1"/>
  <c r="E25" i="2"/>
  <c r="M15" i="2" s="1"/>
  <c r="E26" i="2"/>
  <c r="N15" i="2" s="1"/>
  <c r="F21" i="2"/>
  <c r="J16" i="2" s="1"/>
  <c r="F22" i="2"/>
  <c r="K16" i="2" s="1"/>
  <c r="F24" i="2"/>
  <c r="L16" i="2" s="1"/>
  <c r="F25" i="2"/>
  <c r="M16" i="2" s="1"/>
  <c r="F26" i="2"/>
  <c r="N16" i="2" s="1"/>
  <c r="D8" i="1" l="1"/>
  <c r="C16" i="15"/>
  <c r="C15" i="15"/>
  <c r="D10" i="1"/>
  <c r="J8" i="1"/>
  <c r="F16" i="3"/>
  <c r="R36" i="10"/>
  <c r="Q38" i="10"/>
  <c r="Q39" i="10" s="1"/>
  <c r="J6" i="2"/>
  <c r="K6" i="2"/>
  <c r="E33" i="2"/>
  <c r="C10" i="15"/>
  <c r="C11" i="15" s="1"/>
  <c r="C17" i="15"/>
  <c r="D34" i="2"/>
  <c r="J7" i="2"/>
  <c r="C11" i="1"/>
  <c r="D9" i="1"/>
  <c r="K7" i="2"/>
  <c r="D12" i="10"/>
  <c r="D17" i="10" s="1"/>
  <c r="E10" i="3" l="1"/>
  <c r="C16" i="3"/>
  <c r="F7" i="3" s="1"/>
  <c r="C17" i="10"/>
  <c r="D7" i="10" s="1"/>
  <c r="E12" i="10"/>
  <c r="R38" i="10"/>
  <c r="J8" i="2"/>
  <c r="C12" i="1"/>
  <c r="D11" i="1"/>
  <c r="B33" i="2"/>
  <c r="E34" i="2"/>
  <c r="D35" i="2"/>
  <c r="F34" i="2"/>
  <c r="K8" i="2"/>
  <c r="R39" i="10"/>
  <c r="Q40" i="10"/>
  <c r="H26" i="15" l="1"/>
  <c r="I12" i="1"/>
  <c r="I11" i="1"/>
  <c r="I9" i="1"/>
  <c r="I10" i="1"/>
  <c r="I8" i="1"/>
  <c r="S37" i="10"/>
  <c r="S35" i="10"/>
  <c r="K8" i="1" s="1"/>
  <c r="S38" i="10"/>
  <c r="S39" i="10"/>
  <c r="S36" i="10"/>
  <c r="G35" i="2"/>
  <c r="D36" i="2"/>
  <c r="D12" i="1"/>
  <c r="C13" i="1"/>
  <c r="Q41" i="10"/>
  <c r="R40" i="10"/>
  <c r="S40" i="10" s="1"/>
  <c r="F35" i="2"/>
  <c r="E35" i="2"/>
  <c r="J34" i="2"/>
  <c r="J35" i="2" s="1"/>
  <c r="J36" i="2" s="1"/>
  <c r="J37" i="2" s="1"/>
  <c r="J38" i="2" s="1"/>
  <c r="E36" i="2" l="1"/>
  <c r="K35" i="2"/>
  <c r="K36" i="2" s="1"/>
  <c r="K37" i="2" s="1"/>
  <c r="K38" i="2" s="1"/>
  <c r="K39" i="2" s="1"/>
  <c r="R41" i="10"/>
  <c r="S41" i="10" s="1"/>
  <c r="Q42" i="10"/>
  <c r="D13" i="1"/>
  <c r="C14" i="1"/>
  <c r="I13" i="1"/>
  <c r="H36" i="2"/>
  <c r="D37" i="2"/>
  <c r="I37" i="2" s="1"/>
  <c r="F36" i="2"/>
  <c r="Q35" i="2"/>
  <c r="Q36" i="2" s="1"/>
  <c r="Q37" i="2" s="1"/>
  <c r="Q38" i="2" s="1"/>
  <c r="Q39" i="2" s="1"/>
  <c r="G36" i="2"/>
  <c r="B34" i="2"/>
  <c r="K9" i="1" l="1"/>
  <c r="B35" i="2"/>
  <c r="C29" i="2"/>
  <c r="E9" i="1" s="1"/>
  <c r="D49" i="2"/>
  <c r="R42" i="10"/>
  <c r="S42" i="10" s="1"/>
  <c r="Q43" i="10"/>
  <c r="C15" i="1"/>
  <c r="D14" i="1"/>
  <c r="I14" i="1"/>
  <c r="G37" i="2"/>
  <c r="X36" i="2"/>
  <c r="X37" i="2" s="1"/>
  <c r="X38" i="2" s="1"/>
  <c r="X39" i="2" s="1"/>
  <c r="X40" i="2" s="1"/>
  <c r="I38" i="2"/>
  <c r="F37" i="2"/>
  <c r="R36" i="2"/>
  <c r="R37" i="2" s="1"/>
  <c r="R38" i="2" s="1"/>
  <c r="R39" i="2" s="1"/>
  <c r="R40" i="2" s="1"/>
  <c r="H37" i="2"/>
  <c r="L36" i="2"/>
  <c r="L37" i="2" s="1"/>
  <c r="L38" i="2" s="1"/>
  <c r="L39" i="2" s="1"/>
  <c r="L40" i="2" s="1"/>
  <c r="E37" i="2"/>
  <c r="K11" i="1" l="1"/>
  <c r="K10" i="1"/>
  <c r="E13" i="1"/>
  <c r="E8" i="1"/>
  <c r="E10" i="1"/>
  <c r="E11" i="1"/>
  <c r="E12" i="1"/>
  <c r="M37" i="2"/>
  <c r="E38" i="2"/>
  <c r="F38" i="2"/>
  <c r="S37" i="2"/>
  <c r="S38" i="2" s="1"/>
  <c r="S39" i="2" s="1"/>
  <c r="S40" i="2" s="1"/>
  <c r="S41" i="2" s="1"/>
  <c r="Y37" i="2"/>
  <c r="Y38" i="2" s="1"/>
  <c r="Y39" i="2" s="1"/>
  <c r="Y40" i="2" s="1"/>
  <c r="Y41" i="2" s="1"/>
  <c r="G38" i="2"/>
  <c r="E14" i="1"/>
  <c r="B36" i="2"/>
  <c r="AL38" i="2"/>
  <c r="AL39" i="2" s="1"/>
  <c r="AL40" i="2" s="1"/>
  <c r="AL41" i="2" s="1"/>
  <c r="AL42" i="2" s="1"/>
  <c r="I39" i="2"/>
  <c r="H38" i="2"/>
  <c r="AE37" i="2"/>
  <c r="AE38" i="2" s="1"/>
  <c r="AE39" i="2" s="1"/>
  <c r="AE40" i="2" s="1"/>
  <c r="AE41" i="2" s="1"/>
  <c r="C16" i="1"/>
  <c r="D15" i="1"/>
  <c r="I15" i="1"/>
  <c r="Q44" i="10"/>
  <c r="R43" i="10"/>
  <c r="S43" i="10" s="1"/>
  <c r="E15" i="1" l="1"/>
  <c r="AM39" i="2"/>
  <c r="AM40" i="2" s="1"/>
  <c r="AM41" i="2" s="1"/>
  <c r="AM42" i="2" s="1"/>
  <c r="AM43" i="2" s="1"/>
  <c r="I40" i="2"/>
  <c r="M38" i="2"/>
  <c r="M39" i="2" s="1"/>
  <c r="M40" i="2" s="1"/>
  <c r="M41" i="2" s="1"/>
  <c r="B37" i="2"/>
  <c r="T38" i="2"/>
  <c r="T39" i="2" s="1"/>
  <c r="T40" i="2" s="1"/>
  <c r="T41" i="2" s="1"/>
  <c r="T42" i="2" s="1"/>
  <c r="F39" i="2"/>
  <c r="R44" i="10"/>
  <c r="S44" i="10" s="1"/>
  <c r="Q45" i="10"/>
  <c r="D16" i="1"/>
  <c r="C17" i="1"/>
  <c r="I16" i="1"/>
  <c r="AF38" i="2"/>
  <c r="AF39" i="2" s="1"/>
  <c r="AF40" i="2" s="1"/>
  <c r="AF41" i="2" s="1"/>
  <c r="AF42" i="2" s="1"/>
  <c r="H39" i="2"/>
  <c r="G39" i="2"/>
  <c r="Z38" i="2"/>
  <c r="Z39" i="2" s="1"/>
  <c r="Z40" i="2" s="1"/>
  <c r="Z41" i="2" s="1"/>
  <c r="Z42" i="2" s="1"/>
  <c r="N38" i="2"/>
  <c r="E39" i="2"/>
  <c r="K12" i="1" l="1"/>
  <c r="O39" i="2"/>
  <c r="E40" i="2"/>
  <c r="P40" i="2" s="1"/>
  <c r="H40" i="2"/>
  <c r="AG39" i="2"/>
  <c r="AG40" i="2" s="1"/>
  <c r="AG41" i="2" s="1"/>
  <c r="AG42" i="2" s="1"/>
  <c r="AG43" i="2" s="1"/>
  <c r="C18" i="1"/>
  <c r="D17" i="1"/>
  <c r="I17" i="1"/>
  <c r="N39" i="2"/>
  <c r="N40" i="2" s="1"/>
  <c r="N41" i="2" s="1"/>
  <c r="N42" i="2" s="1"/>
  <c r="B38" i="2"/>
  <c r="I41" i="2"/>
  <c r="AN40" i="2"/>
  <c r="AN41" i="2" s="1"/>
  <c r="AN42" i="2" s="1"/>
  <c r="AN43" i="2" s="1"/>
  <c r="AN44" i="2" s="1"/>
  <c r="R45" i="10"/>
  <c r="S45" i="10" s="1"/>
  <c r="Q46" i="10"/>
  <c r="U39" i="2"/>
  <c r="U40" i="2" s="1"/>
  <c r="U41" i="2" s="1"/>
  <c r="U42" i="2" s="1"/>
  <c r="U43" i="2" s="1"/>
  <c r="F40" i="2"/>
  <c r="E16" i="1"/>
  <c r="G40" i="2"/>
  <c r="AA39" i="2"/>
  <c r="AA40" i="2" s="1"/>
  <c r="AA41" i="2" s="1"/>
  <c r="AA42" i="2" s="1"/>
  <c r="AA43" i="2" s="1"/>
  <c r="K13" i="1" l="1"/>
  <c r="B39" i="2"/>
  <c r="O40" i="2"/>
  <c r="O41" i="2" s="1"/>
  <c r="O42" i="2" s="1"/>
  <c r="O43" i="2" s="1"/>
  <c r="I42" i="2"/>
  <c r="AO41" i="2"/>
  <c r="AO42" i="2" s="1"/>
  <c r="AO43" i="2" s="1"/>
  <c r="AO44" i="2" s="1"/>
  <c r="AO45" i="2" s="1"/>
  <c r="AH40" i="2"/>
  <c r="AH41" i="2" s="1"/>
  <c r="AH42" i="2" s="1"/>
  <c r="AH43" i="2" s="1"/>
  <c r="AH44" i="2" s="1"/>
  <c r="H41" i="2"/>
  <c r="C19" i="1"/>
  <c r="D18" i="1"/>
  <c r="I18" i="1"/>
  <c r="AB40" i="2"/>
  <c r="AB41" i="2" s="1"/>
  <c r="AB42" i="2" s="1"/>
  <c r="AB43" i="2" s="1"/>
  <c r="AB44" i="2" s="1"/>
  <c r="G41" i="2"/>
  <c r="Q47" i="10"/>
  <c r="R46" i="10"/>
  <c r="S46" i="10" s="1"/>
  <c r="F41" i="2"/>
  <c r="W41" i="2" s="1"/>
  <c r="V40" i="2"/>
  <c r="V41" i="2" s="1"/>
  <c r="V42" i="2" s="1"/>
  <c r="V43" i="2" s="1"/>
  <c r="V44" i="2" s="1"/>
  <c r="E17" i="1"/>
  <c r="P41" i="2"/>
  <c r="P42" i="2" s="1"/>
  <c r="P43" i="2" s="1"/>
  <c r="P44" i="2" s="1"/>
  <c r="K14" i="1" l="1"/>
  <c r="B40" i="2"/>
  <c r="E18" i="1"/>
  <c r="C20" i="1"/>
  <c r="D19" i="1"/>
  <c r="I19" i="1"/>
  <c r="Q48" i="10"/>
  <c r="R47" i="10"/>
  <c r="S47" i="10" s="1"/>
  <c r="K15" i="1" s="1"/>
  <c r="H42" i="2"/>
  <c r="AI41" i="2"/>
  <c r="AI42" i="2" s="1"/>
  <c r="AI43" i="2" s="1"/>
  <c r="AI44" i="2" s="1"/>
  <c r="AI45" i="2" s="1"/>
  <c r="AC41" i="2"/>
  <c r="AC42" i="2" s="1"/>
  <c r="AC43" i="2" s="1"/>
  <c r="AC44" i="2" s="1"/>
  <c r="AC45" i="2" s="1"/>
  <c r="G42" i="2"/>
  <c r="AD42" i="2" s="1"/>
  <c r="W42" i="2"/>
  <c r="W43" i="2" s="1"/>
  <c r="W44" i="2" s="1"/>
  <c r="W45" i="2" s="1"/>
  <c r="I43" i="2"/>
  <c r="AP42" i="2"/>
  <c r="AP43" i="2" s="1"/>
  <c r="AP44" i="2" s="1"/>
  <c r="AP45" i="2" s="1"/>
  <c r="AP46" i="2" s="1"/>
  <c r="B41" i="2" l="1"/>
  <c r="AQ43" i="2"/>
  <c r="AQ44" i="2" s="1"/>
  <c r="AQ45" i="2" s="1"/>
  <c r="AQ46" i="2" s="1"/>
  <c r="AQ47" i="2" s="1"/>
  <c r="I44" i="2"/>
  <c r="AR44" i="2" s="1"/>
  <c r="Q49" i="10"/>
  <c r="R48" i="10"/>
  <c r="S48" i="10" s="1"/>
  <c r="C21" i="1"/>
  <c r="D20" i="1"/>
  <c r="I20" i="1"/>
  <c r="AD43" i="2"/>
  <c r="AD44" i="2" s="1"/>
  <c r="AD45" i="2" s="1"/>
  <c r="AD46" i="2" s="1"/>
  <c r="E19" i="1"/>
  <c r="H43" i="2"/>
  <c r="AK43" i="2" s="1"/>
  <c r="AJ42" i="2"/>
  <c r="AJ43" i="2" s="1"/>
  <c r="AJ44" i="2" s="1"/>
  <c r="AJ45" i="2" s="1"/>
  <c r="AJ46" i="2" s="1"/>
  <c r="K16" i="1" l="1"/>
  <c r="C22" i="1"/>
  <c r="D21" i="1"/>
  <c r="I21" i="1"/>
  <c r="E20" i="1"/>
  <c r="R49" i="10"/>
  <c r="S49" i="10" s="1"/>
  <c r="Q50" i="10"/>
  <c r="AK44" i="2"/>
  <c r="AK45" i="2" s="1"/>
  <c r="AK46" i="2" s="1"/>
  <c r="AK47" i="2" s="1"/>
  <c r="B43" i="2"/>
  <c r="B42" i="2"/>
  <c r="B44" i="2"/>
  <c r="AR45" i="2"/>
  <c r="AR46" i="2" s="1"/>
  <c r="AR47" i="2" s="1"/>
  <c r="AR48" i="2" s="1"/>
  <c r="K17" i="1" l="1"/>
  <c r="E21" i="1"/>
  <c r="B49" i="2"/>
  <c r="C30" i="2"/>
  <c r="F21" i="1" s="1"/>
  <c r="R50" i="10"/>
  <c r="S50" i="10" s="1"/>
  <c r="Q51" i="10"/>
  <c r="C23" i="1"/>
  <c r="D22" i="1"/>
  <c r="I22" i="1"/>
  <c r="K18" i="1" l="1"/>
  <c r="G21" i="1"/>
  <c r="C24" i="1"/>
  <c r="D23" i="1"/>
  <c r="I23" i="1"/>
  <c r="F8" i="1"/>
  <c r="G8" i="1" s="1"/>
  <c r="F10" i="1"/>
  <c r="G10" i="1" s="1"/>
  <c r="F9" i="1"/>
  <c r="G9" i="1" s="1"/>
  <c r="F11" i="1"/>
  <c r="G11" i="1" s="1"/>
  <c r="F12" i="1"/>
  <c r="G12" i="1" s="1"/>
  <c r="F13" i="1"/>
  <c r="G13" i="1" s="1"/>
  <c r="F14" i="1"/>
  <c r="G14" i="1" s="1"/>
  <c r="F15" i="1"/>
  <c r="G15" i="1" s="1"/>
  <c r="F16" i="1"/>
  <c r="G16" i="1" s="1"/>
  <c r="F17" i="1"/>
  <c r="G17" i="1" s="1"/>
  <c r="F18" i="1"/>
  <c r="G18" i="1" s="1"/>
  <c r="F19" i="1"/>
  <c r="G19" i="1" s="1"/>
  <c r="F20" i="1"/>
  <c r="G20" i="1" s="1"/>
  <c r="F22" i="1"/>
  <c r="E22" i="1"/>
  <c r="Q52" i="10"/>
  <c r="R51" i="10"/>
  <c r="S51" i="10" s="1"/>
  <c r="K19" i="1" s="1"/>
  <c r="K20" i="1" l="1"/>
  <c r="G22" i="1"/>
  <c r="Q53" i="10"/>
  <c r="R52" i="10"/>
  <c r="S52" i="10" s="1"/>
  <c r="E23" i="1"/>
  <c r="F23" i="1"/>
  <c r="C25" i="1"/>
  <c r="D24" i="1"/>
  <c r="I24" i="1"/>
  <c r="K21" i="1" l="1"/>
  <c r="F24" i="1"/>
  <c r="E24" i="1"/>
  <c r="R53" i="10"/>
  <c r="S53" i="10" s="1"/>
  <c r="Q54" i="10"/>
  <c r="C26" i="1"/>
  <c r="D25" i="1"/>
  <c r="I25" i="1"/>
  <c r="G23" i="1"/>
  <c r="K22" i="1" l="1"/>
  <c r="Q55" i="10"/>
  <c r="R54" i="10"/>
  <c r="S54" i="10" s="1"/>
  <c r="C27" i="1"/>
  <c r="D26" i="1"/>
  <c r="I26" i="1"/>
  <c r="F25" i="1"/>
  <c r="E25" i="1"/>
  <c r="G24" i="1"/>
  <c r="G25" i="1" l="1"/>
  <c r="E26" i="1"/>
  <c r="F26" i="1"/>
  <c r="R55" i="10"/>
  <c r="S55" i="10" s="1"/>
  <c r="K23" i="1" s="1"/>
  <c r="Q56" i="10"/>
  <c r="C28" i="1"/>
  <c r="D27" i="1"/>
  <c r="I27" i="1"/>
  <c r="G26" i="1" l="1"/>
  <c r="C29" i="1"/>
  <c r="D28" i="1"/>
  <c r="I28" i="1"/>
  <c r="F27" i="1"/>
  <c r="E27" i="1"/>
  <c r="Q57" i="10"/>
  <c r="R56" i="10"/>
  <c r="S56" i="10" s="1"/>
  <c r="K25" i="1" l="1"/>
  <c r="K24" i="1"/>
  <c r="G27" i="1"/>
  <c r="Q58" i="10"/>
  <c r="R57" i="10"/>
  <c r="S57" i="10" s="1"/>
  <c r="F28" i="1"/>
  <c r="E28" i="1"/>
  <c r="C30" i="1"/>
  <c r="D29" i="1"/>
  <c r="I29" i="1"/>
  <c r="C31" i="1" l="1"/>
  <c r="D30" i="1"/>
  <c r="I30" i="1"/>
  <c r="E29" i="1"/>
  <c r="F29" i="1"/>
  <c r="G28" i="1"/>
  <c r="R58" i="10"/>
  <c r="S58" i="10" s="1"/>
  <c r="Q59" i="10"/>
  <c r="K26" i="1" l="1"/>
  <c r="C32" i="1"/>
  <c r="D31" i="1"/>
  <c r="I31" i="1"/>
  <c r="G29" i="1"/>
  <c r="F30" i="1"/>
  <c r="E30" i="1"/>
  <c r="Q60" i="10"/>
  <c r="R59" i="10"/>
  <c r="S59" i="10" s="1"/>
  <c r="K27" i="1" s="1"/>
  <c r="C33" i="1" l="1"/>
  <c r="D32" i="1"/>
  <c r="I32" i="1"/>
  <c r="R60" i="10"/>
  <c r="S60" i="10" s="1"/>
  <c r="Q61" i="10"/>
  <c r="G30" i="1"/>
  <c r="F31" i="1"/>
  <c r="E31" i="1"/>
  <c r="K28" i="1" l="1"/>
  <c r="G31" i="1"/>
  <c r="R61" i="10"/>
  <c r="S61" i="10" s="1"/>
  <c r="Q62" i="10"/>
  <c r="C34" i="1"/>
  <c r="D33" i="1"/>
  <c r="I33" i="1"/>
  <c r="F32" i="1"/>
  <c r="E32" i="1"/>
  <c r="K29" i="1" l="1"/>
  <c r="G32" i="1"/>
  <c r="E33" i="1"/>
  <c r="F33" i="1"/>
  <c r="Q63" i="10"/>
  <c r="R62" i="10"/>
  <c r="S62" i="10" s="1"/>
  <c r="C35" i="1"/>
  <c r="D34" i="1"/>
  <c r="I34" i="1"/>
  <c r="K34" i="1"/>
  <c r="K30" i="1" l="1"/>
  <c r="E34" i="1"/>
  <c r="F34" i="1"/>
  <c r="R63" i="10"/>
  <c r="S63" i="10" s="1"/>
  <c r="Q64" i="10"/>
  <c r="C36" i="1"/>
  <c r="D35" i="1"/>
  <c r="K35" i="1"/>
  <c r="I35" i="1"/>
  <c r="G33" i="1"/>
  <c r="K31" i="1" l="1"/>
  <c r="G34" i="1"/>
  <c r="K36" i="1"/>
  <c r="F35" i="1"/>
  <c r="E35" i="1"/>
  <c r="D36" i="1"/>
  <c r="C37" i="1"/>
  <c r="I36" i="1"/>
  <c r="R64" i="10"/>
  <c r="S64" i="10" s="1"/>
  <c r="K32" i="1" s="1"/>
  <c r="Q65" i="10"/>
  <c r="K37" i="1" l="1"/>
  <c r="K33" i="1"/>
  <c r="G35" i="1"/>
  <c r="C38" i="1"/>
  <c r="D37" i="1"/>
  <c r="I37" i="1"/>
  <c r="Q66" i="10"/>
  <c r="R65" i="10"/>
  <c r="S65" i="10" s="1"/>
  <c r="F36" i="1"/>
  <c r="E36" i="1"/>
  <c r="E37" i="1" l="1"/>
  <c r="F37" i="1"/>
  <c r="Q67" i="10"/>
  <c r="R66" i="10"/>
  <c r="S66" i="10" s="1"/>
  <c r="G36" i="1"/>
  <c r="J38" i="1"/>
  <c r="C39" i="1"/>
  <c r="D38" i="1"/>
  <c r="K38" i="1"/>
  <c r="I38" i="1"/>
  <c r="G37" i="1" l="1"/>
  <c r="R67" i="10"/>
  <c r="S67" i="10" s="1"/>
  <c r="Q68" i="10"/>
  <c r="F38" i="1"/>
  <c r="E38" i="1"/>
  <c r="J39" i="1"/>
  <c r="C40" i="1"/>
  <c r="D39" i="1"/>
  <c r="K39" i="1"/>
  <c r="I39" i="1"/>
  <c r="L38" i="1"/>
  <c r="L39" i="1" l="1"/>
  <c r="F39" i="1"/>
  <c r="E39" i="1"/>
  <c r="G38" i="1"/>
  <c r="N38" i="1"/>
  <c r="M38" i="1"/>
  <c r="C41" i="1"/>
  <c r="J40" i="1"/>
  <c r="D40" i="1"/>
  <c r="K40" i="1"/>
  <c r="I40" i="1"/>
  <c r="Q69" i="10"/>
  <c r="R68" i="10"/>
  <c r="S68" i="10" s="1"/>
  <c r="G39" i="1" l="1"/>
  <c r="E40" i="1"/>
  <c r="F40" i="1"/>
  <c r="N39" i="1"/>
  <c r="M39" i="1"/>
  <c r="O38" i="1"/>
  <c r="Q70" i="10"/>
  <c r="R69" i="10"/>
  <c r="S69" i="10" s="1"/>
  <c r="L40" i="1"/>
  <c r="J41" i="1"/>
  <c r="C42" i="1"/>
  <c r="D41" i="1"/>
  <c r="I41" i="1"/>
  <c r="K41" i="1"/>
  <c r="L41" i="1" l="1"/>
  <c r="E41" i="1"/>
  <c r="F41" i="1"/>
  <c r="O39" i="1"/>
  <c r="N40" i="1"/>
  <c r="M40" i="1"/>
  <c r="J42" i="1"/>
  <c r="C43" i="1"/>
  <c r="D42" i="1"/>
  <c r="I42" i="1"/>
  <c r="K42" i="1"/>
  <c r="Q71" i="10"/>
  <c r="R70" i="10"/>
  <c r="S70" i="10" s="1"/>
  <c r="G40" i="1"/>
  <c r="O40" i="1" l="1"/>
  <c r="N41" i="1"/>
  <c r="M41" i="1"/>
  <c r="Q72" i="10"/>
  <c r="R71" i="10"/>
  <c r="S71" i="10" s="1"/>
  <c r="J43" i="1"/>
  <c r="D43" i="1"/>
  <c r="C44" i="1"/>
  <c r="I43" i="1"/>
  <c r="K43" i="1"/>
  <c r="E42" i="1"/>
  <c r="F42" i="1"/>
  <c r="L42" i="1"/>
  <c r="G41" i="1"/>
  <c r="G42" i="1" l="1"/>
  <c r="L43" i="1"/>
  <c r="M43" i="1" s="1"/>
  <c r="J44" i="1"/>
  <c r="C45" i="1"/>
  <c r="D44" i="1"/>
  <c r="I44" i="1"/>
  <c r="K44" i="1"/>
  <c r="Q73" i="10"/>
  <c r="R72" i="10"/>
  <c r="S72" i="10" s="1"/>
  <c r="E43" i="1"/>
  <c r="F43" i="1"/>
  <c r="O41" i="1"/>
  <c r="N42" i="1"/>
  <c r="M42" i="1"/>
  <c r="N43" i="1" l="1"/>
  <c r="O43" i="1" s="1"/>
  <c r="O42" i="1"/>
  <c r="F44" i="1"/>
  <c r="E44" i="1"/>
  <c r="Q74" i="10"/>
  <c r="R73" i="10"/>
  <c r="S73" i="10" s="1"/>
  <c r="C46" i="1"/>
  <c r="J45" i="1"/>
  <c r="D45" i="1"/>
  <c r="K45" i="1"/>
  <c r="I45" i="1"/>
  <c r="G43" i="1"/>
  <c r="L44" i="1"/>
  <c r="L45" i="1" l="1"/>
  <c r="M45" i="1" s="1"/>
  <c r="G44" i="1"/>
  <c r="M44" i="1"/>
  <c r="N44" i="1"/>
  <c r="F45" i="1"/>
  <c r="E45" i="1"/>
  <c r="Q75" i="10"/>
  <c r="R74" i="10"/>
  <c r="S74" i="10" s="1"/>
  <c r="C47" i="1"/>
  <c r="J46" i="1"/>
  <c r="D46" i="1"/>
  <c r="I46" i="1"/>
  <c r="K46" i="1"/>
  <c r="N45" i="1" l="1"/>
  <c r="O45" i="1" s="1"/>
  <c r="O44" i="1"/>
  <c r="F46" i="1"/>
  <c r="E46" i="1"/>
  <c r="R75" i="10"/>
  <c r="S75" i="10" s="1"/>
  <c r="Q76" i="10"/>
  <c r="L46" i="1"/>
  <c r="J47" i="1"/>
  <c r="C48" i="1"/>
  <c r="D47" i="1"/>
  <c r="I47" i="1"/>
  <c r="K47" i="1"/>
  <c r="G45" i="1"/>
  <c r="G46" i="1" l="1"/>
  <c r="N46" i="1"/>
  <c r="M46" i="1"/>
  <c r="E47" i="1"/>
  <c r="F47" i="1"/>
  <c r="Q77" i="10"/>
  <c r="R76" i="10"/>
  <c r="S76" i="10" s="1"/>
  <c r="C49" i="1"/>
  <c r="J48" i="1"/>
  <c r="D48" i="1"/>
  <c r="K48" i="1"/>
  <c r="I48" i="1"/>
  <c r="L47" i="1"/>
  <c r="G47" i="1" l="1"/>
  <c r="Q78" i="10"/>
  <c r="R77" i="10"/>
  <c r="S77" i="10" s="1"/>
  <c r="F48" i="1"/>
  <c r="E48" i="1"/>
  <c r="O46" i="1"/>
  <c r="N47" i="1"/>
  <c r="M47" i="1"/>
  <c r="L48" i="1"/>
  <c r="C50" i="1"/>
  <c r="J49" i="1"/>
  <c r="D49" i="1"/>
  <c r="K49" i="1"/>
  <c r="I49" i="1"/>
  <c r="O47" i="1" l="1"/>
  <c r="Q79" i="10"/>
  <c r="R78" i="10"/>
  <c r="S78" i="10" s="1"/>
  <c r="L49" i="1"/>
  <c r="N48" i="1"/>
  <c r="M48" i="1"/>
  <c r="F49" i="1"/>
  <c r="E49" i="1"/>
  <c r="G48" i="1"/>
  <c r="C51" i="1"/>
  <c r="J50" i="1"/>
  <c r="D50" i="1"/>
  <c r="I50" i="1"/>
  <c r="K50" i="1"/>
  <c r="G49" i="1" l="1"/>
  <c r="O48" i="1"/>
  <c r="L50" i="1"/>
  <c r="C52" i="1"/>
  <c r="J51" i="1"/>
  <c r="D51" i="1"/>
  <c r="I51" i="1"/>
  <c r="K51" i="1"/>
  <c r="Q80" i="10"/>
  <c r="R79" i="10"/>
  <c r="S79" i="10" s="1"/>
  <c r="E50" i="1"/>
  <c r="F50" i="1"/>
  <c r="N49" i="1"/>
  <c r="M49" i="1"/>
  <c r="L51" i="1" l="1"/>
  <c r="N51" i="1" s="1"/>
  <c r="E51" i="1"/>
  <c r="F51" i="1"/>
  <c r="O49" i="1"/>
  <c r="Q81" i="10"/>
  <c r="R80" i="10"/>
  <c r="S80" i="10" s="1"/>
  <c r="G50" i="1"/>
  <c r="C53" i="1"/>
  <c r="J52" i="1"/>
  <c r="D52" i="1"/>
  <c r="I52" i="1"/>
  <c r="K52" i="1"/>
  <c r="N50" i="1"/>
  <c r="M50" i="1"/>
  <c r="G51" i="1" l="1"/>
  <c r="M51" i="1"/>
  <c r="O51" i="1" s="1"/>
  <c r="O50" i="1"/>
  <c r="E52" i="1"/>
  <c r="F52" i="1"/>
  <c r="Q82" i="10"/>
  <c r="R81" i="10"/>
  <c r="S81" i="10" s="1"/>
  <c r="L52" i="1"/>
  <c r="J53" i="1"/>
  <c r="C54" i="1"/>
  <c r="D53" i="1"/>
  <c r="K53" i="1"/>
  <c r="I53" i="1"/>
  <c r="L53" i="1" l="1"/>
  <c r="M52" i="1"/>
  <c r="N52" i="1"/>
  <c r="F53" i="1"/>
  <c r="E53" i="1"/>
  <c r="J54" i="1"/>
  <c r="C55" i="1"/>
  <c r="D54" i="1"/>
  <c r="K54" i="1"/>
  <c r="I54" i="1"/>
  <c r="Q83" i="10"/>
  <c r="R82" i="10"/>
  <c r="S82" i="10" s="1"/>
  <c r="G52" i="1"/>
  <c r="G53" i="1" l="1"/>
  <c r="L54" i="1"/>
  <c r="N53" i="1"/>
  <c r="M53" i="1"/>
  <c r="F54" i="1"/>
  <c r="E54" i="1"/>
  <c r="R83" i="10"/>
  <c r="S83" i="10" s="1"/>
  <c r="Q84" i="10"/>
  <c r="C56" i="1"/>
  <c r="J55" i="1"/>
  <c r="D55" i="1"/>
  <c r="K55" i="1"/>
  <c r="I55" i="1"/>
  <c r="O52" i="1"/>
  <c r="G54" i="1" l="1"/>
  <c r="L55" i="1"/>
  <c r="Q85" i="10"/>
  <c r="R84" i="10"/>
  <c r="S84" i="10" s="1"/>
  <c r="E55" i="1"/>
  <c r="F55" i="1"/>
  <c r="O53" i="1"/>
  <c r="C57" i="1"/>
  <c r="J56" i="1"/>
  <c r="D56" i="1"/>
  <c r="K56" i="1"/>
  <c r="I56" i="1"/>
  <c r="N54" i="1"/>
  <c r="M54" i="1"/>
  <c r="G55" i="1" l="1"/>
  <c r="Q86" i="10"/>
  <c r="R85" i="10"/>
  <c r="S85" i="10" s="1"/>
  <c r="O54" i="1"/>
  <c r="E56" i="1"/>
  <c r="F56" i="1"/>
  <c r="M55" i="1"/>
  <c r="N55" i="1"/>
  <c r="L56" i="1"/>
  <c r="J57" i="1"/>
  <c r="C58" i="1"/>
  <c r="D57" i="1"/>
  <c r="I57" i="1"/>
  <c r="K57" i="1"/>
  <c r="L57" i="1" l="1"/>
  <c r="N57" i="1" s="1"/>
  <c r="G56" i="1"/>
  <c r="Q87" i="10"/>
  <c r="R86" i="10"/>
  <c r="S86" i="10" s="1"/>
  <c r="M56" i="1"/>
  <c r="N56" i="1"/>
  <c r="E57" i="1"/>
  <c r="F57" i="1"/>
  <c r="O55" i="1"/>
  <c r="J58" i="1"/>
  <c r="C59" i="1"/>
  <c r="D58" i="1"/>
  <c r="I58" i="1"/>
  <c r="K58" i="1"/>
  <c r="G57" i="1" l="1"/>
  <c r="L58" i="1"/>
  <c r="M58" i="1" s="1"/>
  <c r="M57" i="1"/>
  <c r="O57" i="1" s="1"/>
  <c r="O56" i="1"/>
  <c r="Q88" i="10"/>
  <c r="R87" i="10"/>
  <c r="S87" i="10" s="1"/>
  <c r="E58" i="1"/>
  <c r="F58" i="1"/>
  <c r="J59" i="1"/>
  <c r="D59" i="1"/>
  <c r="K59" i="1"/>
  <c r="K60" i="1" s="1"/>
  <c r="H18" i="15" s="1"/>
  <c r="I59" i="1"/>
  <c r="N58" i="1" l="1"/>
  <c r="O58" i="1" s="1"/>
  <c r="G58" i="1"/>
  <c r="L59" i="1"/>
  <c r="I60" i="1"/>
  <c r="E59" i="1"/>
  <c r="F59" i="1"/>
  <c r="D60" i="1"/>
  <c r="H8" i="15"/>
  <c r="Q89" i="10"/>
  <c r="R88" i="10"/>
  <c r="S88" i="10" s="1"/>
  <c r="G59" i="1" l="1"/>
  <c r="G60" i="1" s="1"/>
  <c r="H9" i="15" s="1"/>
  <c r="H10" i="15" s="1"/>
  <c r="Q90" i="10"/>
  <c r="R89" i="10"/>
  <c r="S89" i="10" s="1"/>
  <c r="H16" i="15"/>
  <c r="N59" i="1"/>
  <c r="M59" i="1"/>
  <c r="Q91" i="10" l="1"/>
  <c r="R90" i="10"/>
  <c r="S90" i="10" s="1"/>
  <c r="O59" i="1"/>
  <c r="R91" i="10" l="1"/>
  <c r="S91" i="10" s="1"/>
  <c r="Q92" i="10"/>
  <c r="Q93" i="10" l="1"/>
  <c r="R92" i="10"/>
  <c r="S92" i="10" s="1"/>
  <c r="Q94" i="10" l="1"/>
  <c r="R93" i="10"/>
  <c r="S93" i="10" s="1"/>
  <c r="Q95" i="10" l="1"/>
  <c r="R94" i="10"/>
  <c r="S94" i="10" s="1"/>
  <c r="R95" i="10" l="1"/>
  <c r="S95" i="10" s="1"/>
  <c r="Q96" i="10"/>
  <c r="R96" i="10" l="1"/>
  <c r="S96" i="10" s="1"/>
  <c r="Q97" i="10"/>
  <c r="R97" i="10" l="1"/>
  <c r="S97" i="10" s="1"/>
  <c r="Q98" i="10"/>
  <c r="Q99" i="10" l="1"/>
  <c r="R98" i="10"/>
  <c r="S98" i="10" s="1"/>
  <c r="Q100" i="10" l="1"/>
  <c r="R99" i="10"/>
  <c r="S99" i="10" s="1"/>
  <c r="Q101" i="10" l="1"/>
  <c r="R100" i="10"/>
  <c r="S100" i="10" s="1"/>
  <c r="R101" i="10" l="1"/>
  <c r="S101" i="10" s="1"/>
  <c r="Q102" i="10"/>
  <c r="R102" i="10" l="1"/>
  <c r="S102" i="10" s="1"/>
  <c r="Q103" i="10"/>
  <c r="R103" i="10" l="1"/>
  <c r="S103" i="10" s="1"/>
  <c r="Q104" i="10"/>
  <c r="R104" i="10" l="1"/>
  <c r="S104" i="10" s="1"/>
  <c r="Q105" i="10"/>
  <c r="R105" i="10" l="1"/>
  <c r="S105" i="10" s="1"/>
  <c r="Q106" i="10"/>
  <c r="R106" i="10" l="1"/>
  <c r="S106" i="10" s="1"/>
  <c r="Q107" i="10"/>
  <c r="R107" i="10" l="1"/>
  <c r="S107" i="10" s="1"/>
  <c r="Q108" i="10"/>
  <c r="R108" i="10" l="1"/>
  <c r="S108" i="10" s="1"/>
  <c r="Q109" i="10"/>
  <c r="Q110" i="10" l="1"/>
  <c r="R109" i="10"/>
  <c r="S109" i="10" s="1"/>
  <c r="R110" i="10" l="1"/>
  <c r="S110" i="10" s="1"/>
  <c r="Q111" i="10"/>
  <c r="Q112" i="10" l="1"/>
  <c r="R111" i="10"/>
  <c r="S111" i="10" s="1"/>
  <c r="R112" i="10" l="1"/>
  <c r="S112" i="10" s="1"/>
  <c r="Q113" i="10"/>
  <c r="R113" i="10" l="1"/>
  <c r="S113" i="10" s="1"/>
  <c r="Q114" i="10"/>
  <c r="Q115" i="10" l="1"/>
  <c r="R114" i="10"/>
  <c r="S114" i="10" s="1"/>
  <c r="R115" i="10" l="1"/>
  <c r="S115" i="10" s="1"/>
  <c r="Q116" i="10"/>
  <c r="Q117" i="10" l="1"/>
  <c r="R116" i="10"/>
  <c r="S116" i="10" s="1"/>
  <c r="R117" i="10" l="1"/>
  <c r="S117" i="10" s="1"/>
  <c r="Q118" i="10"/>
  <c r="R118" i="10" l="1"/>
  <c r="S118" i="10" s="1"/>
  <c r="Q119" i="10"/>
  <c r="R119" i="10" l="1"/>
  <c r="S119" i="10" s="1"/>
  <c r="Q120" i="10"/>
  <c r="Q121" i="10" l="1"/>
  <c r="R120" i="10"/>
  <c r="S120" i="10" s="1"/>
  <c r="R121" i="10" l="1"/>
  <c r="S121" i="10" s="1"/>
  <c r="Q122" i="10"/>
  <c r="R122" i="10" l="1"/>
  <c r="S122" i="10" s="1"/>
  <c r="Q123" i="10"/>
  <c r="Q124" i="10" l="1"/>
  <c r="R123" i="10"/>
  <c r="S123" i="10" s="1"/>
  <c r="R124" i="10" l="1"/>
  <c r="S124" i="10" s="1"/>
  <c r="Q125" i="10"/>
  <c r="R125" i="10" l="1"/>
  <c r="S125" i="10" s="1"/>
  <c r="Q126" i="10"/>
  <c r="Q127" i="10" l="1"/>
  <c r="R126" i="10"/>
  <c r="S126" i="10" s="1"/>
  <c r="R127" i="10" l="1"/>
  <c r="S127" i="10" s="1"/>
  <c r="Q128" i="10"/>
  <c r="Q129" i="10" l="1"/>
  <c r="R128" i="10"/>
  <c r="S128" i="10" s="1"/>
  <c r="R129" i="10" l="1"/>
  <c r="S129" i="10" s="1"/>
  <c r="Q130" i="10"/>
  <c r="Q131" i="10" l="1"/>
  <c r="R130" i="10"/>
  <c r="S130" i="10" s="1"/>
  <c r="R131" i="10" l="1"/>
  <c r="S131" i="10" s="1"/>
  <c r="Q132" i="10"/>
  <c r="Q133" i="10" l="1"/>
  <c r="R132" i="10"/>
  <c r="S132" i="10" s="1"/>
  <c r="R133" i="10" l="1"/>
  <c r="S133" i="10" s="1"/>
  <c r="Q134" i="10"/>
  <c r="R134" i="10" s="1"/>
  <c r="S134" i="10" s="1"/>
  <c r="J33" i="1" l="1"/>
  <c r="L33" i="1" s="1"/>
  <c r="N33" i="1" s="1"/>
  <c r="J32" i="1"/>
  <c r="L32" i="1" s="1"/>
  <c r="J30" i="1"/>
  <c r="L30" i="1" s="1"/>
  <c r="M30" i="1" s="1"/>
  <c r="J37" i="1"/>
  <c r="L37" i="1" s="1"/>
  <c r="N37" i="1" s="1"/>
  <c r="J21" i="1"/>
  <c r="L21" i="1" s="1"/>
  <c r="N21" i="1" s="1"/>
  <c r="J31" i="1"/>
  <c r="L31" i="1" s="1"/>
  <c r="J13" i="1"/>
  <c r="L13" i="1" s="1"/>
  <c r="M13" i="1" s="1"/>
  <c r="J12" i="1"/>
  <c r="L12" i="1" s="1"/>
  <c r="J34" i="1"/>
  <c r="L34" i="1" s="1"/>
  <c r="J23" i="1"/>
  <c r="L23" i="1" s="1"/>
  <c r="J11" i="1"/>
  <c r="L11" i="1" s="1"/>
  <c r="J25" i="1"/>
  <c r="L25" i="1" s="1"/>
  <c r="M25" i="1" s="1"/>
  <c r="J17" i="1"/>
  <c r="L17" i="1" s="1"/>
  <c r="M17" i="1" s="1"/>
  <c r="J35" i="1"/>
  <c r="L35" i="1" s="1"/>
  <c r="M35" i="1" s="1"/>
  <c r="J20" i="1"/>
  <c r="L20" i="1" s="1"/>
  <c r="J16" i="1"/>
  <c r="L16" i="1" s="1"/>
  <c r="M16" i="1" s="1"/>
  <c r="J36" i="1"/>
  <c r="L36" i="1" s="1"/>
  <c r="M36" i="1" s="1"/>
  <c r="J10" i="1"/>
  <c r="L10" i="1" s="1"/>
  <c r="M10" i="1" s="1"/>
  <c r="J9" i="1"/>
  <c r="L9" i="1" s="1"/>
  <c r="L8" i="1"/>
  <c r="J28" i="1"/>
  <c r="L28" i="1" s="1"/>
  <c r="M28" i="1" s="1"/>
  <c r="J15" i="1"/>
  <c r="L15" i="1" s="1"/>
  <c r="M15" i="1" s="1"/>
  <c r="J19" i="1"/>
  <c r="L19" i="1" s="1"/>
  <c r="J18" i="1"/>
  <c r="L18" i="1" s="1"/>
  <c r="N18" i="1" s="1"/>
  <c r="J14" i="1"/>
  <c r="L14" i="1" s="1"/>
  <c r="N14" i="1" s="1"/>
  <c r="J22" i="1"/>
  <c r="L22" i="1" s="1"/>
  <c r="N22" i="1" s="1"/>
  <c r="J24" i="1"/>
  <c r="L24" i="1" s="1"/>
  <c r="M24" i="1" s="1"/>
  <c r="J29" i="1"/>
  <c r="L29" i="1" s="1"/>
  <c r="N29" i="1" s="1"/>
  <c r="J27" i="1"/>
  <c r="L27" i="1" s="1"/>
  <c r="N27" i="1" s="1"/>
  <c r="J26" i="1"/>
  <c r="L26" i="1" s="1"/>
  <c r="M26" i="1" s="1"/>
  <c r="N35" i="1" l="1"/>
  <c r="O35" i="1" s="1"/>
  <c r="M9" i="1"/>
  <c r="N9" i="1"/>
  <c r="M31" i="1"/>
  <c r="N31" i="1"/>
  <c r="N13" i="1"/>
  <c r="O13" i="1" s="1"/>
  <c r="J60" i="1"/>
  <c r="L60" i="1" s="1"/>
  <c r="H15" i="15" s="1"/>
  <c r="M34" i="1"/>
  <c r="N34" i="1"/>
  <c r="M20" i="1"/>
  <c r="N20" i="1"/>
  <c r="M32" i="1"/>
  <c r="N32" i="1"/>
  <c r="N19" i="1"/>
  <c r="M19" i="1"/>
  <c r="M11" i="1"/>
  <c r="N11" i="1"/>
  <c r="M33" i="1"/>
  <c r="O33" i="1" s="1"/>
  <c r="M29" i="1"/>
  <c r="O29" i="1" s="1"/>
  <c r="N25" i="1"/>
  <c r="O25" i="1" s="1"/>
  <c r="M37" i="1"/>
  <c r="O37" i="1" s="1"/>
  <c r="N28" i="1"/>
  <c r="O28" i="1" s="1"/>
  <c r="N10" i="1"/>
  <c r="O10" i="1" s="1"/>
  <c r="N30" i="1"/>
  <c r="O30" i="1" s="1"/>
  <c r="N23" i="1"/>
  <c r="M23" i="1"/>
  <c r="M12" i="1"/>
  <c r="N12" i="1"/>
  <c r="M8" i="1"/>
  <c r="N8" i="1"/>
  <c r="M14" i="1"/>
  <c r="O14" i="1" s="1"/>
  <c r="N26" i="1"/>
  <c r="O26" i="1" s="1"/>
  <c r="N24" i="1"/>
  <c r="O24" i="1" s="1"/>
  <c r="M27" i="1"/>
  <c r="O27" i="1" s="1"/>
  <c r="N36" i="1"/>
  <c r="O36" i="1" s="1"/>
  <c r="N16" i="1"/>
  <c r="O16" i="1" s="1"/>
  <c r="N17" i="1"/>
  <c r="O17" i="1" s="1"/>
  <c r="N15" i="1"/>
  <c r="O15" i="1" s="1"/>
  <c r="M21" i="1"/>
  <c r="O21" i="1" s="1"/>
  <c r="M22" i="1"/>
  <c r="O22" i="1" s="1"/>
  <c r="M18" i="1"/>
  <c r="O18" i="1" s="1"/>
  <c r="O12" i="1" l="1"/>
  <c r="O11" i="1"/>
  <c r="O32" i="1"/>
  <c r="O34" i="1"/>
  <c r="O31" i="1"/>
  <c r="H17" i="15"/>
  <c r="O23" i="1"/>
  <c r="O20" i="1"/>
  <c r="O9" i="1"/>
  <c r="O8" i="1"/>
  <c r="O19" i="1"/>
  <c r="O60" i="1" l="1"/>
  <c r="H19" i="15" s="1"/>
  <c r="H20" i="15" s="1"/>
  <c r="H2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Drew</author>
  </authors>
  <commentList>
    <comment ref="D7" authorId="0" shapeId="0" xr:uid="{00000000-0006-0000-0600-000001000000}">
      <text>
        <r>
          <rPr>
            <b/>
            <sz val="9"/>
            <color indexed="81"/>
            <rFont val="Tahoma"/>
            <family val="2"/>
          </rPr>
          <t>Drew:</t>
        </r>
        <r>
          <rPr>
            <sz val="9"/>
            <color indexed="81"/>
            <rFont val="Tahoma"/>
            <family val="2"/>
          </rPr>
          <t xml:space="preserve">
From Injured Adult Females:  C10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alaughland</author>
    <author>Szymanski, Jennifer</author>
  </authors>
  <commentList>
    <comment ref="J5" authorId="0" shapeId="0" xr:uid="{00000000-0006-0000-0700-000001000000}">
      <text>
        <r>
          <rPr>
            <b/>
            <sz val="9"/>
            <color indexed="81"/>
            <rFont val="Tahoma"/>
            <family val="2"/>
          </rPr>
          <t>OWNER:</t>
        </r>
        <r>
          <rPr>
            <sz val="9"/>
            <color indexed="81"/>
            <rFont val="Tahoma"/>
            <family val="2"/>
          </rPr>
          <t xml:space="preserve">
Serves as a check on table calculation below.</t>
        </r>
      </text>
    </comment>
    <comment ref="K5" authorId="0" shapeId="0" xr:uid="{00000000-0006-0000-0700-000002000000}">
      <text>
        <r>
          <rPr>
            <b/>
            <sz val="9"/>
            <color indexed="81"/>
            <rFont val="Tahoma"/>
            <family val="2"/>
          </rPr>
          <t>OWNER:</t>
        </r>
        <r>
          <rPr>
            <sz val="9"/>
            <color indexed="81"/>
            <rFont val="Tahoma"/>
            <family val="2"/>
          </rPr>
          <t xml:space="preserve">
Shows total female reproduction for female from birth. Used for mitigation projects
</t>
        </r>
      </text>
    </comment>
    <comment ref="D28" authorId="1" shapeId="0" xr:uid="{00000000-0006-0000-0700-000003000000}">
      <text>
        <r>
          <rPr>
            <b/>
            <sz val="8"/>
            <color indexed="81"/>
            <rFont val="Tahoma"/>
            <family val="2"/>
          </rPr>
          <t>alaughland:</t>
        </r>
        <r>
          <rPr>
            <sz val="8"/>
            <color indexed="81"/>
            <rFont val="Tahoma"/>
            <family val="2"/>
          </rPr>
          <t xml:space="preserve">
From Services sheet
</t>
        </r>
      </text>
    </comment>
    <comment ref="D31" authorId="2" shapeId="0" xr:uid="{00000000-0006-0000-0700-000004000000}">
      <text>
        <r>
          <rPr>
            <b/>
            <sz val="9"/>
            <color indexed="81"/>
            <rFont val="Tahoma"/>
            <family val="2"/>
          </rPr>
          <t>Szymanski, Jennifer:</t>
        </r>
        <r>
          <rPr>
            <sz val="9"/>
            <color indexed="81"/>
            <rFont val="Tahoma"/>
            <family val="2"/>
          </rPr>
          <t xml:space="preserve">
This column gives survival probabilities for the female taken/gained</t>
        </r>
      </text>
    </comment>
    <comment ref="E31" authorId="2" shapeId="0" xr:uid="{00000000-0006-0000-0700-000005000000}">
      <text>
        <r>
          <rPr>
            <b/>
            <sz val="9"/>
            <color indexed="81"/>
            <rFont val="Tahoma"/>
            <family val="2"/>
          </rPr>
          <t>Szymanski, Jennifer:</t>
        </r>
        <r>
          <rPr>
            <sz val="9"/>
            <color indexed="81"/>
            <rFont val="Tahoma"/>
            <family val="2"/>
          </rPr>
          <t xml:space="preserve">
Pup 0, 1…4 are the offspring from Female taken or gained </t>
        </r>
      </text>
    </comment>
    <comment ref="J31" authorId="2" shapeId="0" xr:uid="{00000000-0006-0000-0700-000006000000}">
      <text>
        <r>
          <rPr>
            <b/>
            <sz val="9"/>
            <color indexed="81"/>
            <rFont val="Tahoma"/>
            <family val="2"/>
          </rPr>
          <t>Szymanski, Jennifer:</t>
        </r>
        <r>
          <rPr>
            <sz val="9"/>
            <color indexed="81"/>
            <rFont val="Tahoma"/>
            <family val="2"/>
          </rPr>
          <t xml:space="preserve">
Pup 00, 01…06 are the offspring from Pup 0; Pup 10…16 are the offspring from Pup 1, etc.</t>
        </r>
      </text>
    </comment>
  </commentList>
</comments>
</file>

<file path=xl/sharedStrings.xml><?xml version="1.0" encoding="utf-8"?>
<sst xmlns="http://schemas.openxmlformats.org/spreadsheetml/2006/main" count="344" uniqueCount="264">
  <si>
    <t>pups/female/year</t>
  </si>
  <si>
    <t>female pups/female/year</t>
  </si>
  <si>
    <t>Parameters</t>
  </si>
  <si>
    <t>Lost Reproduction</t>
  </si>
  <si>
    <t>female pups</t>
  </si>
  <si>
    <t>rate</t>
  </si>
  <si>
    <t>Females Added</t>
  </si>
  <si>
    <t>Gained Reproduction</t>
  </si>
  <si>
    <t>lambda</t>
  </si>
  <si>
    <t>JWS</t>
  </si>
  <si>
    <t>Adult Winter Survival</t>
  </si>
  <si>
    <t>AWS</t>
  </si>
  <si>
    <t>Non-reproductive Summer Survival</t>
  </si>
  <si>
    <t>NSS</t>
  </si>
  <si>
    <t>JSS</t>
  </si>
  <si>
    <t>Adult Summer Survival</t>
  </si>
  <si>
    <t>ASS</t>
  </si>
  <si>
    <t>Pup Fall Survival</t>
  </si>
  <si>
    <t>PFS</t>
  </si>
  <si>
    <t>JFS</t>
  </si>
  <si>
    <t>Adult Fall Survival</t>
  </si>
  <si>
    <t>AFS</t>
  </si>
  <si>
    <t>JP</t>
  </si>
  <si>
    <t>Adult Propensity to breed</t>
  </si>
  <si>
    <t>AP</t>
  </si>
  <si>
    <t>JB</t>
  </si>
  <si>
    <t>Adult Breeding Success</t>
  </si>
  <si>
    <t>AB</t>
  </si>
  <si>
    <t>JP*JB</t>
  </si>
  <si>
    <t>Adult Breeding Rate</t>
  </si>
  <si>
    <t>AP*AB</t>
  </si>
  <si>
    <t>Pup Survival to breeding Juvenile</t>
  </si>
  <si>
    <t>PFS*JWS</t>
  </si>
  <si>
    <t>JSS*JFS*AWS</t>
  </si>
  <si>
    <t>Adult Annual Survival</t>
  </si>
  <si>
    <t>ASS*AFS*AWS</t>
  </si>
  <si>
    <t>Adult Female Breeding Rate</t>
  </si>
  <si>
    <t>Juvenile Female Breeding Rate</t>
  </si>
  <si>
    <t xml:space="preserve">     Adult F-F Breeding Rate</t>
  </si>
  <si>
    <t xml:space="preserve">    Juvenile F-F Breeding Rate</t>
  </si>
  <si>
    <t>Pup Survival to juvenile</t>
  </si>
  <si>
    <t>Direct Female Take</t>
  </si>
  <si>
    <t>Project start year</t>
  </si>
  <si>
    <t>Level of threat</t>
  </si>
  <si>
    <t>Year</t>
  </si>
  <si>
    <t>Simplified Reproduction Services Model - Including lifetime of progeny</t>
  </si>
  <si>
    <t>Low Ceiling</t>
  </si>
  <si>
    <t>Yes</t>
  </si>
  <si>
    <t>No</t>
  </si>
  <si>
    <t>Project Services Pattern</t>
  </si>
  <si>
    <t>Project Year</t>
  </si>
  <si>
    <t>Female Gain</t>
  </si>
  <si>
    <t>Undiscounted</t>
  </si>
  <si>
    <t>Direct take</t>
  </si>
  <si>
    <t>female adults</t>
  </si>
  <si>
    <t>females</t>
  </si>
  <si>
    <t>Direct females added by project</t>
  </si>
  <si>
    <t>pups/female/year = AP*AB</t>
  </si>
  <si>
    <t>Summer habitat protection</t>
  </si>
  <si>
    <t>Hibernaculum protection</t>
  </si>
  <si>
    <t>Maternity habitat restoration</t>
  </si>
  <si>
    <t>Total Gain</t>
  </si>
  <si>
    <t>Juvenile Annual Survival</t>
  </si>
  <si>
    <t>Reproduction Lost Calculation</t>
  </si>
  <si>
    <t>Clumped</t>
  </si>
  <si>
    <t>25-49%</t>
  </si>
  <si>
    <t>50-74%</t>
  </si>
  <si>
    <t>&lt;25%</t>
  </si>
  <si>
    <t>75% or greater</t>
  </si>
  <si>
    <t>Proportion of N in accessible locations</t>
  </si>
  <si>
    <t>Habitat function</t>
  </si>
  <si>
    <t>Maternity Colony Habitat Function:</t>
  </si>
  <si>
    <t>Expected female gain</t>
  </si>
  <si>
    <t>Expected K</t>
  </si>
  <si>
    <t xml:space="preserve">Existing % forest cover </t>
  </si>
  <si>
    <t>Roosting &amp; Foraging</t>
  </si>
  <si>
    <t>N (population size of hibernaculum)</t>
  </si>
  <si>
    <t>Clumped or clustered</t>
  </si>
  <si>
    <t>Evidence of bat disturbance or vandalism</t>
  </si>
  <si>
    <t>Evidence of disturbance/vandalism?</t>
  </si>
  <si>
    <t xml:space="preserve">Corridor </t>
  </si>
  <si>
    <t>Bats in accessible locations</t>
  </si>
  <si>
    <t>Injured Adult Females Annually:</t>
  </si>
  <si>
    <t>Permit start year:</t>
  </si>
  <si>
    <t>Functional travel corridor</t>
  </si>
  <si>
    <t>Qualifying acreage</t>
  </si>
  <si>
    <t>Summer Habitat Protection</t>
  </si>
  <si>
    <t>Summer Habitat Restoration</t>
  </si>
  <si>
    <t>Summer habitat restoration</t>
  </si>
  <si>
    <t>Gained Reproduction Calculation</t>
  </si>
  <si>
    <t>Stationary Condition</t>
  </si>
  <si>
    <t>Existing % forest cover</t>
  </si>
  <si>
    <t>Using Ibat lookup data (median values) from Ibat Demographic Model tool v4</t>
  </si>
  <si>
    <r>
      <t>(</t>
    </r>
    <r>
      <rPr>
        <sz val="11"/>
        <color theme="1"/>
        <rFont val="Calibri"/>
        <family val="2"/>
      </rPr>
      <t>λ=0.99-1.01)</t>
    </r>
  </si>
  <si>
    <t>Declining Condition</t>
  </si>
  <si>
    <t>Increasing condition</t>
  </si>
  <si>
    <t>(λ=0.97-0.98)</t>
  </si>
  <si>
    <t>Lambda condition</t>
  </si>
  <si>
    <t>Stationary</t>
  </si>
  <si>
    <t>Declining</t>
  </si>
  <si>
    <t>Increasing</t>
  </si>
  <si>
    <t>Breeding Rate</t>
  </si>
  <si>
    <t>Survival Rate</t>
  </si>
  <si>
    <t>Juvenile</t>
  </si>
  <si>
    <t xml:space="preserve">Adult </t>
  </si>
  <si>
    <t>Pup</t>
  </si>
  <si>
    <t>Adult</t>
  </si>
  <si>
    <t>Roosting &amp; Foraging + Corridor</t>
  </si>
  <si>
    <t>Unoccupied terminus &gt;500' from occupied habitat</t>
  </si>
  <si>
    <t>Pup 0</t>
  </si>
  <si>
    <t>Pup 1</t>
  </si>
  <si>
    <t>Pup 2</t>
  </si>
  <si>
    <t>Pup 3</t>
  </si>
  <si>
    <t>Model Condition</t>
  </si>
  <si>
    <t>Pup 01</t>
  </si>
  <si>
    <t>Pup 02</t>
  </si>
  <si>
    <t>Pup 03</t>
  </si>
  <si>
    <t>Pup 04</t>
  </si>
  <si>
    <t>Pup 11</t>
  </si>
  <si>
    <t>Pup 12</t>
  </si>
  <si>
    <t>Pup 13</t>
  </si>
  <si>
    <t>Pup 14</t>
  </si>
  <si>
    <t>Pup 21</t>
  </si>
  <si>
    <t>Pup 22</t>
  </si>
  <si>
    <t>Pup 23</t>
  </si>
  <si>
    <t>Pup 24</t>
  </si>
  <si>
    <t>Pup 31</t>
  </si>
  <si>
    <t>Pup 32</t>
  </si>
  <si>
    <t>Pup 33</t>
  </si>
  <si>
    <t>Pup 34</t>
  </si>
  <si>
    <t>Lost Female Reproduction</t>
  </si>
  <si>
    <t>Female 0</t>
  </si>
  <si>
    <t>Pup 00</t>
  </si>
  <si>
    <t>Pup 10</t>
  </si>
  <si>
    <t>Pup 20</t>
  </si>
  <si>
    <t>Pup 30</t>
  </si>
  <si>
    <t>First Generation</t>
  </si>
  <si>
    <t>Total Female Repro Potential</t>
  </si>
  <si>
    <t>Second Generation</t>
  </si>
  <si>
    <t>Lost First Generation Females</t>
  </si>
  <si>
    <t>Lost Second Generation Females</t>
  </si>
  <si>
    <t>Gained First Generation Females</t>
  </si>
  <si>
    <t>Gained Second Generation Females</t>
  </si>
  <si>
    <t>Probability of birth</t>
  </si>
  <si>
    <t>Probability of survival each year</t>
  </si>
  <si>
    <t>Key:</t>
  </si>
  <si>
    <t>used to calculate probability of the next generation of births</t>
  </si>
  <si>
    <t>Required Conditions:</t>
  </si>
  <si>
    <t>Pup 4</t>
  </si>
  <si>
    <t>Pup 40</t>
  </si>
  <si>
    <t>Pup 41</t>
  </si>
  <si>
    <t>Pup 42</t>
  </si>
  <si>
    <t>Pup 43</t>
  </si>
  <si>
    <t>Pup 44</t>
  </si>
  <si>
    <t>must be &gt;46 acres</t>
  </si>
  <si>
    <t>Tables for Summer Habitat Protection model drop downs</t>
  </si>
  <si>
    <t>Project Details:</t>
  </si>
  <si>
    <t>Hibernaculum Conditions:</t>
  </si>
  <si>
    <t>Unoccupied forest block more than 500' from occupied patch</t>
  </si>
  <si>
    <t>Unoccupied forest block connected by corridor &gt;20 ac</t>
  </si>
  <si>
    <t>Forest Block more than 5 acres:</t>
  </si>
  <si>
    <t>Tables for Hibernaculum Protection model drop downs.</t>
  </si>
  <si>
    <t>Unoccupied terminus forested block &gt;500' from occupied forest block</t>
  </si>
  <si>
    <t>Creators:</t>
  </si>
  <si>
    <t>Winter Habitat Protection</t>
  </si>
  <si>
    <t>Output</t>
  </si>
  <si>
    <t>Total qualifying mitigation acres</t>
  </si>
  <si>
    <t>Debit Accrued</t>
  </si>
  <si>
    <t>Mitigation Credit Accrued</t>
  </si>
  <si>
    <t>Demographic Rates used to parameterize the demographic model</t>
  </si>
  <si>
    <t>Debit</t>
  </si>
  <si>
    <t>Credit</t>
  </si>
  <si>
    <t>Input Parameters</t>
  </si>
  <si>
    <t xml:space="preserve">Total Lost  </t>
  </si>
  <si>
    <t>Net gained</t>
  </si>
  <si>
    <t>Habitat function served by the "to be protected" habitat</t>
  </si>
  <si>
    <t>Acres of "to be restored" forest adjacent to (within 500' of) occupied habitat</t>
  </si>
  <si>
    <t>Acres of "to be restored" corridor habitat</t>
  </si>
  <si>
    <t>Acres of "to be restored" forest at unoccupied terminus</t>
  </si>
  <si>
    <t>Pup= birth to entering into hibernaculum</t>
  </si>
  <si>
    <t>Mitigation Credit Due</t>
  </si>
  <si>
    <t>Total lost reproduction</t>
  </si>
  <si>
    <t>Total reproduction gained</t>
  </si>
  <si>
    <t xml:space="preserve">User guide: </t>
  </si>
  <si>
    <t>A comprehensive user guide accompanies this model.  All users are expected to read the guide before applying the model.</t>
  </si>
  <si>
    <t xml:space="preserve">Purpose:  </t>
  </si>
  <si>
    <t>To calculate the credit gained from proposed mitigation projects to offset residual take (i.e., take anticipated after avoidance and minimization measures have been applied).  Note, the model is not intended to calculate mitigation debit due to population level effects.</t>
  </si>
  <si>
    <t>NA</t>
  </si>
  <si>
    <t>Will or are both termini forest blocks protected</t>
  </si>
  <si>
    <t>Habitat Conditions:</t>
  </si>
  <si>
    <t>(λ=1.02-1.03)</t>
  </si>
  <si>
    <t>Pup 45</t>
  </si>
  <si>
    <t>Pup 35</t>
  </si>
  <si>
    <t>Pup 25</t>
  </si>
  <si>
    <t>Pup 15</t>
  </si>
  <si>
    <t>Pup 05</t>
  </si>
  <si>
    <r>
      <t xml:space="preserve">Jennifer Szymanski, Forest Clark          </t>
    </r>
    <r>
      <rPr>
        <b/>
        <sz val="11"/>
        <color theme="1"/>
        <rFont val="Calibri"/>
        <family val="2"/>
        <scheme val="minor"/>
      </rPr>
      <t>Programmer:</t>
    </r>
    <r>
      <rPr>
        <sz val="11"/>
        <color theme="1"/>
        <rFont val="Calibri"/>
        <family val="2"/>
        <scheme val="minor"/>
      </rPr>
      <t xml:space="preserve"> Drew Laughland</t>
    </r>
  </si>
  <si>
    <t>Name the model:</t>
  </si>
  <si>
    <t>The underlying demographic model to calculate debit and credit accrued</t>
  </si>
  <si>
    <t>Project end year (include 10 years beyond last monitoring year)</t>
  </si>
  <si>
    <r>
      <t xml:space="preserve">"To be  restored" forest area </t>
    </r>
    <r>
      <rPr>
        <sz val="11"/>
        <rFont val="Calibri"/>
        <family val="2"/>
      </rPr>
      <t>≥</t>
    </r>
    <r>
      <rPr>
        <sz val="11"/>
        <rFont val="Calibri"/>
        <family val="2"/>
        <scheme val="minor"/>
      </rPr>
      <t xml:space="preserve">5 acres </t>
    </r>
  </si>
  <si>
    <r>
      <t xml:space="preserve">Unoccupied terminus forest block </t>
    </r>
    <r>
      <rPr>
        <sz val="11"/>
        <rFont val="Calibri"/>
        <family val="2"/>
      </rPr>
      <t>≥</t>
    </r>
    <r>
      <rPr>
        <sz val="11"/>
        <rFont val="Calibri"/>
        <family val="2"/>
        <scheme val="minor"/>
      </rPr>
      <t xml:space="preserve">20 ac </t>
    </r>
  </si>
  <si>
    <t>1st Year Winter Survival</t>
  </si>
  <si>
    <t>1st Year Summer Survival</t>
  </si>
  <si>
    <t>1st Year Fall Survival</t>
  </si>
  <si>
    <t>1st Year Propensity to breed</t>
  </si>
  <si>
    <t>1st Year Breeding Success</t>
  </si>
  <si>
    <t>1st Year Breeding Rate</t>
  </si>
  <si>
    <t>1st Year Survival to Adult</t>
  </si>
  <si>
    <t>Ist Year - 1st year hibernation to 2nd year hibernation</t>
  </si>
  <si>
    <t>Adult= 2nd year hibernation and beyond</t>
  </si>
  <si>
    <t xml:space="preserve">Permitted take years </t>
  </si>
  <si>
    <t>Pup 46</t>
  </si>
  <si>
    <t>Pup 36</t>
  </si>
  <si>
    <t>Pup 26</t>
  </si>
  <si>
    <t>Pup 16</t>
  </si>
  <si>
    <t>Pup 06</t>
  </si>
  <si>
    <t>FG</t>
  </si>
  <si>
    <t>1st generation female pups per adult female</t>
  </si>
  <si>
    <t>Pup C</t>
  </si>
  <si>
    <t>female pups per female pup</t>
  </si>
  <si>
    <t>SG</t>
  </si>
  <si>
    <t>2nd generation female pups per adult female</t>
  </si>
  <si>
    <t>Percent Services</t>
  </si>
  <si>
    <t xml:space="preserve"> Services</t>
  </si>
  <si>
    <t>T for FG</t>
  </si>
  <si>
    <t>in both cases T for SG is 6.</t>
  </si>
  <si>
    <t>Loss from median age</t>
  </si>
  <si>
    <t>Loss/Gain from full life span</t>
  </si>
  <si>
    <t>Take</t>
  </si>
  <si>
    <t>Hibernaculum easily accessible</t>
  </si>
  <si>
    <t>Bats hibernating in an accessible area of the hibernaculum</t>
  </si>
  <si>
    <t>Hibernaculum Accessibility</t>
  </si>
  <si>
    <t>Mitigation Projects</t>
  </si>
  <si>
    <t>Evidence of non-disturbance threat?</t>
  </si>
  <si>
    <t>Evidence of WNS resiliency</t>
  </si>
  <si>
    <t>Total loss</t>
  </si>
  <si>
    <t>Likelihood of threat</t>
  </si>
  <si>
    <t>Probable (&gt;60%)</t>
  </si>
  <si>
    <t>Level of non-disturbance threat</t>
  </si>
  <si>
    <t>Partial loss</t>
  </si>
  <si>
    <t>WNS Resiliency Multiplier</t>
  </si>
  <si>
    <t>Likelihood of threat occurring</t>
  </si>
  <si>
    <t>Low (&lt;30%)</t>
  </si>
  <si>
    <t>Likely (30%-60%)</t>
  </si>
  <si>
    <t xml:space="preserve">a. Vulnerability of bats to disturbance:  </t>
  </si>
  <si>
    <t>b. Proportion of N in accessible locations</t>
  </si>
  <si>
    <t xml:space="preserve">c. Likelihood of disturbance                       </t>
  </si>
  <si>
    <t xml:space="preserve">Foraging only </t>
  </si>
  <si>
    <r>
      <t>Is the "to be protected" roosting and foraging habitat</t>
    </r>
    <r>
      <rPr>
        <sz val="11"/>
        <rFont val="Calibri"/>
        <family val="2"/>
      </rPr>
      <t>≥</t>
    </r>
    <r>
      <rPr>
        <sz val="11"/>
        <rFont val="Calibri"/>
        <family val="2"/>
        <scheme val="minor"/>
      </rPr>
      <t>5 acres?</t>
    </r>
  </si>
  <si>
    <t>Will or are both termini forest blocks protected?</t>
  </si>
  <si>
    <t>20% or less</t>
  </si>
  <si>
    <t>21% to 50%</t>
  </si>
  <si>
    <t>51% to 75%</t>
  </si>
  <si>
    <t>75% or more</t>
  </si>
  <si>
    <t>Degree of Threat</t>
  </si>
  <si>
    <t>Habitat threatened</t>
  </si>
  <si>
    <t>Habitat is managed for bats</t>
  </si>
  <si>
    <t>Are the occupied termini blocks ≥ 5acres?</t>
  </si>
  <si>
    <t>Acres "to be protected" of occupied forest block/at terminus 1</t>
  </si>
  <si>
    <t>Acres of "to be protected" corridor habitat</t>
  </si>
  <si>
    <t>Acres of "to be protected" forest at terminus 2</t>
  </si>
  <si>
    <t>Are the termini blocks &gt;500 ft apart?</t>
  </si>
  <si>
    <t>R3 Ibat REA Model v7.user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</si>
</sst>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0_);_(* \(#,##0.000\);_(* &quot;-&quot;??_);_(@_)"/>
    <numFmt numFmtId="165" formatCode="_(* #,##0_);_(* \(#,##0\);_(* &quot;-&quot;??_);_(@_)"/>
    <numFmt numFmtId="166" formatCode="0.000%"/>
    <numFmt numFmtId="167" formatCode="0.0%"/>
    <numFmt numFmtId="168" formatCode="_(* #,##0.0_);_(* \(#,##0.0\);_(* &quot;-&quot;??_);_(@_)"/>
    <numFmt numFmtId="169" formatCode="_(* #,##0.00000_);_(* \(#,##0.00000\);_(* &quot;-&quot;??_);_(@_)"/>
    <numFmt numFmtId="170" formatCode="0.000"/>
    <numFmt numFmtId="171" formatCode="0.0"/>
    <numFmt numFmtId="172" formatCode="0.00000"/>
  </numFmts>
  <fonts count="79" x14ac:knownFonts="1">
    <font>
      <sz val="11"/>
      <color theme="1"/>
      <name val="Calibri"/>
      <family val="2"/>
      <scheme val="minor"/>
    </font>
    <font>
      <sz val="11"/>
      <color indexed="8"/>
      <name val="Calibri"/>
      <family val="2"/>
    </font>
    <font>
      <b/>
      <sz val="11"/>
      <color indexed="8"/>
      <name val="Calibri"/>
      <family val="2"/>
    </font>
    <font>
      <b/>
      <sz val="14"/>
      <color indexed="8"/>
      <name val="Calibri"/>
      <family val="2"/>
    </font>
    <font>
      <b/>
      <sz val="12"/>
      <color indexed="8"/>
      <name val="Calibri"/>
      <family val="2"/>
    </font>
    <font>
      <sz val="11"/>
      <color indexed="55"/>
      <name val="Calibri"/>
      <family val="2"/>
    </font>
    <font>
      <b/>
      <sz val="11"/>
      <color indexed="55"/>
      <name val="Calibri"/>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8"/>
      <color indexed="81"/>
      <name val="Tahoma"/>
      <family val="2"/>
    </font>
    <font>
      <b/>
      <sz val="8"/>
      <color indexed="81"/>
      <name val="Tahoma"/>
      <family val="2"/>
    </font>
    <font>
      <sz val="12"/>
      <name val="Calibri"/>
      <family val="2"/>
      <scheme val="minor"/>
    </font>
    <font>
      <b/>
      <sz val="12"/>
      <color rgb="FF0070C0"/>
      <name val="Gill Sans MT"/>
      <family val="2"/>
    </font>
    <font>
      <sz val="11"/>
      <name val="Calibri"/>
      <family val="2"/>
      <scheme val="minor"/>
    </font>
    <font>
      <b/>
      <sz val="11"/>
      <name val="Calibri"/>
      <family val="2"/>
    </font>
    <font>
      <b/>
      <sz val="12"/>
      <name val="Calibri"/>
      <family val="2"/>
    </font>
    <font>
      <b/>
      <sz val="12"/>
      <name val="Calibri"/>
      <family val="2"/>
      <scheme val="minor"/>
    </font>
    <font>
      <sz val="11"/>
      <color rgb="FFFF0000"/>
      <name val="Calibri"/>
      <family val="2"/>
      <scheme val="minor"/>
    </font>
    <font>
      <b/>
      <sz val="11"/>
      <color theme="0" tint="-0.34998626667073579"/>
      <name val="Calibri"/>
      <family val="2"/>
    </font>
    <font>
      <sz val="11"/>
      <color theme="0" tint="-0.34998626667073579"/>
      <name val="Calibri"/>
      <family val="2"/>
      <scheme val="minor"/>
    </font>
    <font>
      <sz val="11"/>
      <color theme="0" tint="-0.34998626667073579"/>
      <name val="Calibri"/>
      <family val="2"/>
    </font>
    <font>
      <sz val="11"/>
      <color theme="0" tint="-0.499984740745262"/>
      <name val="Calibri"/>
      <family val="2"/>
      <scheme val="minor"/>
    </font>
    <font>
      <sz val="11"/>
      <color theme="1"/>
      <name val="Calibri"/>
      <family val="2"/>
    </font>
    <font>
      <b/>
      <sz val="12"/>
      <color theme="1"/>
      <name val="Calibri"/>
      <family val="2"/>
      <scheme val="minor"/>
    </font>
    <font>
      <sz val="11"/>
      <color theme="6" tint="-0.499984740745262"/>
      <name val="Calibri"/>
      <family val="2"/>
      <scheme val="minor"/>
    </font>
    <font>
      <b/>
      <sz val="11"/>
      <color theme="6" tint="-0.499984740745262"/>
      <name val="Calibri"/>
      <family val="2"/>
      <scheme val="minor"/>
    </font>
    <font>
      <b/>
      <sz val="11"/>
      <color theme="8" tint="-0.499984740745262"/>
      <name val="Calibri"/>
      <family val="2"/>
      <scheme val="minor"/>
    </font>
    <font>
      <b/>
      <u/>
      <sz val="11"/>
      <color theme="8" tint="-0.499984740745262"/>
      <name val="Calibri"/>
      <family val="2"/>
      <scheme val="minor"/>
    </font>
    <font>
      <b/>
      <sz val="12"/>
      <color theme="4"/>
      <name val="Calibri"/>
      <family val="2"/>
      <scheme val="minor"/>
    </font>
    <font>
      <sz val="12"/>
      <color theme="0" tint="-0.499984740745262"/>
      <name val="Calibri"/>
      <family val="2"/>
      <scheme val="minor"/>
    </font>
    <font>
      <b/>
      <sz val="14"/>
      <name val="Calibri"/>
      <family val="2"/>
    </font>
    <font>
      <b/>
      <sz val="11"/>
      <name val="Calibri"/>
      <family val="2"/>
      <scheme val="minor"/>
    </font>
    <font>
      <sz val="11"/>
      <name val="Calibri"/>
      <family val="2"/>
    </font>
    <font>
      <b/>
      <sz val="12"/>
      <color theme="0" tint="-0.34998626667073579"/>
      <name val="Calibri"/>
      <family val="2"/>
    </font>
    <font>
      <b/>
      <sz val="11"/>
      <color theme="0"/>
      <name val="Calibri"/>
      <family val="2"/>
      <scheme val="minor"/>
    </font>
    <font>
      <sz val="12"/>
      <color theme="0"/>
      <name val="Calibri"/>
      <family val="2"/>
      <scheme val="minor"/>
    </font>
    <font>
      <b/>
      <sz val="12"/>
      <color theme="3" tint="0.59999389629810485"/>
      <name val="Gill Sans MT"/>
      <family val="2"/>
    </font>
    <font>
      <sz val="11"/>
      <color theme="3" tint="0.59999389629810485"/>
      <name val="Calibri"/>
      <family val="2"/>
      <scheme val="minor"/>
    </font>
    <font>
      <b/>
      <sz val="11"/>
      <color theme="0"/>
      <name val="Calibri"/>
      <family val="2"/>
    </font>
    <font>
      <strike/>
      <sz val="11"/>
      <color theme="1"/>
      <name val="Calibri"/>
      <family val="2"/>
      <scheme val="minor"/>
    </font>
    <font>
      <sz val="11"/>
      <color theme="9" tint="-0.249977111117893"/>
      <name val="Calibri"/>
      <family val="2"/>
      <scheme val="minor"/>
    </font>
    <font>
      <b/>
      <sz val="12"/>
      <color theme="3" tint="0.39997558519241921"/>
      <name val="Calibri"/>
      <family val="2"/>
      <scheme val="minor"/>
    </font>
    <font>
      <b/>
      <sz val="14"/>
      <color indexed="8"/>
      <name val="Calibri"/>
      <family val="2"/>
      <scheme val="minor"/>
    </font>
    <font>
      <b/>
      <sz val="12"/>
      <color indexed="8"/>
      <name val="Calibri"/>
      <family val="2"/>
      <scheme val="minor"/>
    </font>
    <font>
      <b/>
      <sz val="12"/>
      <color theme="3"/>
      <name val="Calibri"/>
      <family val="2"/>
      <scheme val="minor"/>
    </font>
    <font>
      <b/>
      <sz val="12"/>
      <color rgb="FF0070C0"/>
      <name val="Calibri"/>
      <family val="2"/>
      <scheme val="minor"/>
    </font>
    <font>
      <b/>
      <sz val="14"/>
      <name val="Calibri"/>
      <family val="2"/>
      <scheme val="minor"/>
    </font>
    <font>
      <sz val="12"/>
      <color theme="0" tint="-4.9989318521683403E-2"/>
      <name val="Calibri"/>
      <family val="2"/>
      <scheme val="minor"/>
    </font>
    <font>
      <b/>
      <sz val="14"/>
      <color theme="1"/>
      <name val="Calibri"/>
      <family val="2"/>
    </font>
    <font>
      <sz val="11"/>
      <color theme="3" tint="0.39997558519241921"/>
      <name val="Calibri"/>
      <family val="2"/>
      <scheme val="minor"/>
    </font>
    <font>
      <sz val="12"/>
      <color theme="1"/>
      <name val="Times New Roman"/>
      <family val="1"/>
    </font>
    <font>
      <b/>
      <sz val="11"/>
      <color rgb="FFFF0000"/>
      <name val="Calibri"/>
      <family val="2"/>
      <scheme val="minor"/>
    </font>
    <font>
      <sz val="11"/>
      <color theme="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sz val="10"/>
      <color theme="0" tint="-0.34998626667073579"/>
      <name val="Calibri"/>
      <family val="2"/>
      <scheme val="minor"/>
    </font>
    <font>
      <b/>
      <sz val="10"/>
      <color theme="0" tint="-0.34998626667073579"/>
      <name val="Calibri"/>
      <family val="2"/>
      <scheme val="minor"/>
    </font>
    <font>
      <sz val="12"/>
      <color rgb="FFFF0000"/>
      <name val="Calibri"/>
      <family val="2"/>
      <scheme val="minor"/>
    </font>
    <font>
      <sz val="10"/>
      <color theme="0" tint="-0.499984740745262"/>
      <name val="Calibri"/>
      <family val="2"/>
      <scheme val="minor"/>
    </font>
    <font>
      <sz val="10"/>
      <name val="Calibri"/>
      <family val="2"/>
      <scheme val="minor"/>
    </font>
    <font>
      <b/>
      <sz val="10"/>
      <name val="Calibri"/>
      <family val="2"/>
      <scheme val="minor"/>
    </font>
    <font>
      <sz val="11"/>
      <color theme="5"/>
      <name val="Calibri"/>
      <family val="2"/>
      <scheme val="minor"/>
    </font>
    <font>
      <i/>
      <sz val="11"/>
      <color theme="7"/>
      <name val="Calibri"/>
      <family val="2"/>
      <scheme val="minor"/>
    </font>
  </fonts>
  <fills count="60">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7" fillId="0" borderId="0" applyNumberFormat="0" applyFill="0" applyBorder="0" applyAlignment="0" applyProtection="0"/>
    <xf numFmtId="0" fontId="58" fillId="0" borderId="30" applyNumberFormat="0" applyFill="0" applyAlignment="0" applyProtection="0"/>
    <xf numFmtId="0" fontId="59" fillId="0" borderId="31" applyNumberFormat="0" applyFill="0" applyAlignment="0" applyProtection="0"/>
    <xf numFmtId="0" fontId="60" fillId="0" borderId="32" applyNumberFormat="0" applyFill="0" applyAlignment="0" applyProtection="0"/>
    <xf numFmtId="0" fontId="60" fillId="0" borderId="0" applyNumberFormat="0" applyFill="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3" fillId="30" borderId="0" applyNumberFormat="0" applyBorder="0" applyAlignment="0" applyProtection="0"/>
    <xf numFmtId="0" fontId="64" fillId="31" borderId="33" applyNumberFormat="0" applyAlignment="0" applyProtection="0"/>
    <xf numFmtId="0" fontId="65" fillId="32" borderId="34" applyNumberFormat="0" applyAlignment="0" applyProtection="0"/>
    <xf numFmtId="0" fontId="66" fillId="32" borderId="33" applyNumberFormat="0" applyAlignment="0" applyProtection="0"/>
    <xf numFmtId="0" fontId="67" fillId="0" borderId="35" applyNumberFormat="0" applyFill="0" applyAlignment="0" applyProtection="0"/>
    <xf numFmtId="0" fontId="38" fillId="33" borderId="36" applyNumberFormat="0" applyAlignment="0" applyProtection="0"/>
    <xf numFmtId="0" fontId="21" fillId="0" borderId="0" applyNumberFormat="0" applyFill="0" applyBorder="0" applyAlignment="0" applyProtection="0"/>
    <xf numFmtId="0" fontId="9" fillId="34" borderId="37" applyNumberFormat="0" applyFont="0" applyAlignment="0" applyProtection="0"/>
    <xf numFmtId="0" fontId="68" fillId="0" borderId="0" applyNumberFormat="0" applyFill="0" applyBorder="0" applyAlignment="0" applyProtection="0"/>
    <xf numFmtId="0" fontId="10" fillId="0" borderId="38" applyNumberFormat="0" applyFill="0" applyAlignment="0" applyProtection="0"/>
    <xf numFmtId="0" fontId="6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9" fillId="52" borderId="0" applyNumberFormat="0" applyBorder="0" applyAlignment="0" applyProtection="0"/>
    <xf numFmtId="0" fontId="9" fillId="53"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69" fillId="58" borderId="0" applyNumberFormat="0" applyBorder="0" applyAlignment="0" applyProtection="0"/>
  </cellStyleXfs>
  <cellXfs count="634">
    <xf numFmtId="0" fontId="0" fillId="0" borderId="0" xfId="0"/>
    <xf numFmtId="0" fontId="3" fillId="0" borderId="0" xfId="0" applyFont="1"/>
    <xf numFmtId="0" fontId="0" fillId="0" borderId="9" xfId="0" applyBorder="1"/>
    <xf numFmtId="0" fontId="0" fillId="0" borderId="10" xfId="0" applyBorder="1"/>
    <xf numFmtId="0" fontId="0" fillId="0" borderId="1" xfId="0" applyBorder="1"/>
    <xf numFmtId="0" fontId="0" fillId="0" borderId="13" xfId="0" applyBorder="1"/>
    <xf numFmtId="0" fontId="2" fillId="0" borderId="11" xfId="0" applyFont="1" applyBorder="1"/>
    <xf numFmtId="0" fontId="0" fillId="0" borderId="16" xfId="0" applyBorder="1"/>
    <xf numFmtId="0" fontId="5" fillId="0" borderId="17" xfId="0" applyFont="1" applyBorder="1"/>
    <xf numFmtId="0" fontId="5" fillId="0" borderId="18" xfId="0" applyFont="1" applyBorder="1"/>
    <xf numFmtId="164" fontId="9" fillId="0" borderId="0" xfId="1" applyNumberFormat="1" applyFont="1"/>
    <xf numFmtId="0" fontId="5" fillId="0" borderId="0" xfId="0" applyFont="1" applyFill="1" applyBorder="1"/>
    <xf numFmtId="0" fontId="0" fillId="0" borderId="0" xfId="0" applyFill="1" applyBorder="1"/>
    <xf numFmtId="164" fontId="0" fillId="0" borderId="0" xfId="0" applyNumberFormat="1"/>
    <xf numFmtId="0" fontId="0" fillId="0" borderId="4" xfId="0" applyBorder="1"/>
    <xf numFmtId="0" fontId="0" fillId="0" borderId="6" xfId="0" applyBorder="1"/>
    <xf numFmtId="0" fontId="0" fillId="0" borderId="9" xfId="0" applyBorder="1"/>
    <xf numFmtId="0" fontId="0" fillId="0" borderId="10" xfId="0" applyBorder="1"/>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0" fillId="0" borderId="21" xfId="0" applyBorder="1"/>
    <xf numFmtId="43" fontId="0" fillId="0" borderId="0" xfId="0" applyNumberFormat="1"/>
    <xf numFmtId="0" fontId="17" fillId="0" borderId="0" xfId="0" applyFont="1"/>
    <xf numFmtId="43" fontId="0" fillId="0" borderId="0" xfId="1" applyFont="1"/>
    <xf numFmtId="169" fontId="0" fillId="0" borderId="0" xfId="0" applyNumberFormat="1"/>
    <xf numFmtId="0" fontId="0" fillId="0" borderId="0" xfId="0" applyAlignment="1">
      <alignment horizontal="right"/>
    </xf>
    <xf numFmtId="0" fontId="11" fillId="2" borderId="14" xfId="0" applyFont="1" applyFill="1" applyBorder="1" applyProtection="1"/>
    <xf numFmtId="0" fontId="11" fillId="2" borderId="19" xfId="0" applyFont="1" applyFill="1" applyBorder="1" applyProtection="1"/>
    <xf numFmtId="0" fontId="0" fillId="4" borderId="11" xfId="0" applyFont="1" applyFill="1" applyBorder="1" applyProtection="1"/>
    <xf numFmtId="0" fontId="21" fillId="0" borderId="0" xfId="0" applyFont="1" applyProtection="1"/>
    <xf numFmtId="0" fontId="0" fillId="4" borderId="20" xfId="0" applyFont="1" applyFill="1" applyBorder="1" applyProtection="1"/>
    <xf numFmtId="0" fontId="0" fillId="4" borderId="9" xfId="0" applyFont="1" applyFill="1" applyBorder="1" applyAlignment="1" applyProtection="1">
      <alignment horizontal="right"/>
    </xf>
    <xf numFmtId="166" fontId="17" fillId="4" borderId="9" xfId="0" applyNumberFormat="1" applyFont="1" applyFill="1" applyBorder="1" applyAlignment="1" applyProtection="1">
      <alignment horizontal="right"/>
    </xf>
    <xf numFmtId="0" fontId="17" fillId="4" borderId="9" xfId="0" applyFont="1" applyFill="1" applyBorder="1" applyProtection="1"/>
    <xf numFmtId="0" fontId="17" fillId="4" borderId="10" xfId="0" applyFont="1" applyFill="1" applyBorder="1" applyProtection="1"/>
    <xf numFmtId="1" fontId="17" fillId="4" borderId="18" xfId="2" applyNumberFormat="1" applyFont="1" applyFill="1" applyBorder="1" applyAlignment="1" applyProtection="1">
      <alignment horizontal="right"/>
    </xf>
    <xf numFmtId="0" fontId="17" fillId="4" borderId="20" xfId="0" applyFont="1" applyFill="1" applyBorder="1" applyProtection="1"/>
    <xf numFmtId="1" fontId="17" fillId="4" borderId="19" xfId="0" applyNumberFormat="1" applyFont="1" applyFill="1" applyBorder="1" applyAlignment="1" applyProtection="1">
      <alignment horizontal="right"/>
    </xf>
    <xf numFmtId="1" fontId="17" fillId="4" borderId="18" xfId="0" applyNumberFormat="1" applyFont="1" applyFill="1" applyBorder="1" applyAlignment="1" applyProtection="1">
      <alignment horizontal="right"/>
    </xf>
    <xf numFmtId="1" fontId="0" fillId="4" borderId="19" xfId="2" applyNumberFormat="1" applyFont="1" applyFill="1" applyBorder="1" applyAlignment="1" applyProtection="1">
      <alignment horizontal="right"/>
    </xf>
    <xf numFmtId="1" fontId="0" fillId="4" borderId="18" xfId="2" applyNumberFormat="1" applyFont="1" applyFill="1" applyBorder="1" applyAlignment="1" applyProtection="1">
      <alignment horizontal="right"/>
    </xf>
    <xf numFmtId="0" fontId="17" fillId="0" borderId="0" xfId="0" applyFont="1" applyProtection="1"/>
    <xf numFmtId="0" fontId="0" fillId="0" borderId="0" xfId="0" applyFill="1" applyAlignment="1">
      <alignment horizontal="right"/>
    </xf>
    <xf numFmtId="0" fontId="0" fillId="0" borderId="4" xfId="0" applyFill="1" applyBorder="1"/>
    <xf numFmtId="0" fontId="0" fillId="0" borderId="0" xfId="0" applyFill="1"/>
    <xf numFmtId="0" fontId="0" fillId="0" borderId="25" xfId="0" applyBorder="1"/>
    <xf numFmtId="0" fontId="0" fillId="0" borderId="0" xfId="0"/>
    <xf numFmtId="164" fontId="9" fillId="0" borderId="0" xfId="1" applyNumberFormat="1" applyFont="1"/>
    <xf numFmtId="43" fontId="0" fillId="0" borderId="0" xfId="0" applyNumberFormat="1"/>
    <xf numFmtId="1" fontId="17" fillId="4" borderId="19" xfId="2" applyNumberFormat="1" applyFont="1" applyFill="1" applyBorder="1" applyAlignment="1" applyProtection="1">
      <alignment horizontal="right"/>
    </xf>
    <xf numFmtId="9" fontId="17" fillId="9" borderId="9" xfId="2" applyFont="1" applyFill="1" applyBorder="1" applyAlignment="1">
      <alignment horizontal="right" wrapText="1"/>
    </xf>
    <xf numFmtId="0" fontId="0" fillId="3" borderId="11" xfId="0" applyFont="1" applyFill="1" applyBorder="1" applyAlignment="1" applyProtection="1">
      <alignment horizontal="left"/>
    </xf>
    <xf numFmtId="1" fontId="0" fillId="4" borderId="14" xfId="2" applyNumberFormat="1" applyFont="1" applyFill="1" applyBorder="1" applyAlignment="1" applyProtection="1">
      <alignment horizontal="right"/>
    </xf>
    <xf numFmtId="1" fontId="0" fillId="4" borderId="21" xfId="2" applyNumberFormat="1" applyFont="1" applyFill="1" applyBorder="1" applyAlignment="1" applyProtection="1">
      <alignment horizontal="right"/>
    </xf>
    <xf numFmtId="0" fontId="2" fillId="4" borderId="1" xfId="0" applyFont="1" applyFill="1" applyBorder="1"/>
    <xf numFmtId="0" fontId="2" fillId="4" borderId="4" xfId="0" applyFont="1" applyFill="1" applyBorder="1"/>
    <xf numFmtId="0" fontId="6" fillId="4" borderId="4" xfId="0" applyFont="1" applyFill="1" applyBorder="1"/>
    <xf numFmtId="0" fontId="0" fillId="4" borderId="4" xfId="0" applyFill="1" applyBorder="1"/>
    <xf numFmtId="0" fontId="0" fillId="4" borderId="5" xfId="0" applyFill="1" applyBorder="1"/>
    <xf numFmtId="0" fontId="0" fillId="4" borderId="5" xfId="0" applyFont="1" applyFill="1" applyBorder="1"/>
    <xf numFmtId="0" fontId="5" fillId="4" borderId="5" xfId="0" applyFont="1" applyFill="1" applyBorder="1"/>
    <xf numFmtId="0" fontId="0" fillId="4" borderId="8" xfId="0" applyFill="1" applyBorder="1"/>
    <xf numFmtId="0" fontId="34" fillId="0" borderId="0" xfId="0" applyFont="1" applyFill="1" applyBorder="1" applyAlignment="1"/>
    <xf numFmtId="0" fontId="0" fillId="0" borderId="0" xfId="0" applyAlignment="1">
      <alignment wrapText="1"/>
    </xf>
    <xf numFmtId="1" fontId="0" fillId="0" borderId="9" xfId="0" applyNumberFormat="1" applyBorder="1"/>
    <xf numFmtId="0" fontId="22" fillId="0" borderId="0" xfId="0" applyFont="1" applyFill="1" applyBorder="1"/>
    <xf numFmtId="0" fontId="24" fillId="0" borderId="0" xfId="0" applyFont="1" applyFill="1" applyBorder="1" applyAlignment="1">
      <alignment horizontal="left" indent="1"/>
    </xf>
    <xf numFmtId="43" fontId="24" fillId="0" borderId="0" xfId="1" applyFont="1" applyFill="1" applyBorder="1" applyAlignment="1">
      <alignment horizontal="left" indent="1"/>
    </xf>
    <xf numFmtId="0" fontId="23" fillId="0" borderId="0" xfId="0" applyFont="1" applyFill="1" applyBorder="1"/>
    <xf numFmtId="43" fontId="23" fillId="0" borderId="0" xfId="1" applyFont="1" applyFill="1" applyBorder="1"/>
    <xf numFmtId="43" fontId="23" fillId="0" borderId="0" xfId="0" applyNumberFormat="1" applyFont="1" applyFill="1" applyBorder="1"/>
    <xf numFmtId="0" fontId="0" fillId="16" borderId="20" xfId="0" applyFill="1" applyBorder="1"/>
    <xf numFmtId="0" fontId="0" fillId="16" borderId="14" xfId="0" applyFill="1" applyBorder="1"/>
    <xf numFmtId="0" fontId="0" fillId="16" borderId="19" xfId="0" applyFill="1" applyBorder="1"/>
    <xf numFmtId="0" fontId="18" fillId="16" borderId="9" xfId="0" applyFont="1" applyFill="1" applyBorder="1"/>
    <xf numFmtId="0" fontId="0" fillId="16" borderId="18" xfId="0" applyFill="1" applyBorder="1"/>
    <xf numFmtId="0" fontId="36" fillId="16" borderId="17" xfId="0" quotePrefix="1" applyFont="1" applyFill="1" applyBorder="1"/>
    <xf numFmtId="0" fontId="17" fillId="16" borderId="17" xfId="0" applyFont="1" applyFill="1" applyBorder="1"/>
    <xf numFmtId="0" fontId="0" fillId="16" borderId="10" xfId="0" applyFill="1" applyBorder="1"/>
    <xf numFmtId="0" fontId="0" fillId="16" borderId="21" xfId="0" applyFill="1" applyBorder="1"/>
    <xf numFmtId="9" fontId="23" fillId="0" borderId="0" xfId="2" applyFont="1"/>
    <xf numFmtId="0" fontId="0" fillId="17" borderId="0" xfId="0" applyFill="1"/>
    <xf numFmtId="0" fontId="2" fillId="15" borderId="11" xfId="0" applyFont="1" applyFill="1" applyBorder="1" applyAlignment="1">
      <alignment horizontal="center" wrapText="1"/>
    </xf>
    <xf numFmtId="0" fontId="2" fillId="15" borderId="12" xfId="0" applyFont="1" applyFill="1" applyBorder="1" applyAlignment="1">
      <alignment horizontal="center" wrapText="1"/>
    </xf>
    <xf numFmtId="0" fontId="2" fillId="14" borderId="11" xfId="0" applyFont="1" applyFill="1" applyBorder="1" applyAlignment="1">
      <alignment horizontal="center" wrapText="1"/>
    </xf>
    <xf numFmtId="169" fontId="2" fillId="10" borderId="12" xfId="0" applyNumberFormat="1" applyFont="1" applyFill="1" applyBorder="1" applyAlignment="1">
      <alignment horizontal="center" wrapText="1"/>
    </xf>
    <xf numFmtId="43" fontId="9" fillId="10" borderId="0" xfId="1" applyFont="1" applyFill="1" applyBorder="1"/>
    <xf numFmtId="0" fontId="2" fillId="20" borderId="11" xfId="0" applyFont="1" applyFill="1" applyBorder="1" applyAlignment="1">
      <alignment horizontal="center" wrapText="1"/>
    </xf>
    <xf numFmtId="0" fontId="0" fillId="20" borderId="9" xfId="0" applyFill="1" applyBorder="1"/>
    <xf numFmtId="0" fontId="0" fillId="20" borderId="10" xfId="0" applyFill="1" applyBorder="1"/>
    <xf numFmtId="0" fontId="4" fillId="20" borderId="7" xfId="0" applyFont="1" applyFill="1" applyBorder="1"/>
    <xf numFmtId="0" fontId="2" fillId="10" borderId="20" xfId="0" applyFont="1" applyFill="1" applyBorder="1"/>
    <xf numFmtId="0" fontId="0" fillId="10" borderId="19" xfId="0" applyFill="1" applyBorder="1"/>
    <xf numFmtId="0" fontId="1" fillId="10" borderId="9" xfId="0" applyFont="1" applyFill="1" applyBorder="1" applyAlignment="1">
      <alignment horizontal="left" indent="1"/>
    </xf>
    <xf numFmtId="0" fontId="0" fillId="10" borderId="17" xfId="0" applyFill="1" applyBorder="1"/>
    <xf numFmtId="0" fontId="10" fillId="15" borderId="20" xfId="0" applyFont="1" applyFill="1" applyBorder="1"/>
    <xf numFmtId="0" fontId="0" fillId="15" borderId="14" xfId="0" applyFill="1" applyBorder="1"/>
    <xf numFmtId="0" fontId="0" fillId="15" borderId="19" xfId="0" applyFill="1" applyBorder="1"/>
    <xf numFmtId="0" fontId="0" fillId="15" borderId="9" xfId="0" applyFill="1" applyBorder="1" applyAlignment="1">
      <alignment horizontal="left" indent="1"/>
    </xf>
    <xf numFmtId="0" fontId="0" fillId="15" borderId="17" xfId="0" applyFill="1" applyBorder="1"/>
    <xf numFmtId="0" fontId="0" fillId="15" borderId="9" xfId="0" applyFill="1" applyBorder="1" applyAlignment="1">
      <alignment horizontal="left" indent="3"/>
    </xf>
    <xf numFmtId="0" fontId="1" fillId="15" borderId="9" xfId="0" applyFont="1" applyFill="1" applyBorder="1" applyAlignment="1">
      <alignment horizontal="left" indent="1"/>
    </xf>
    <xf numFmtId="0" fontId="10" fillId="18" borderId="18" xfId="0" applyFont="1" applyFill="1" applyBorder="1"/>
    <xf numFmtId="0" fontId="42" fillId="18" borderId="10" xfId="0" applyFont="1" applyFill="1" applyBorder="1" applyAlignment="1">
      <alignment horizontal="left" indent="1"/>
    </xf>
    <xf numFmtId="0" fontId="42" fillId="21" borderId="10" xfId="0" applyFont="1" applyFill="1" applyBorder="1" applyAlignment="1">
      <alignment horizontal="left" indent="1"/>
    </xf>
    <xf numFmtId="0" fontId="38" fillId="21" borderId="18" xfId="0" applyFont="1" applyFill="1" applyBorder="1"/>
    <xf numFmtId="0" fontId="0" fillId="0" borderId="0" xfId="0" applyAlignment="1">
      <alignment horizontal="center"/>
    </xf>
    <xf numFmtId="0" fontId="0" fillId="6" borderId="0" xfId="0" applyFill="1"/>
    <xf numFmtId="0" fontId="0" fillId="0" borderId="0" xfId="0" applyFill="1"/>
    <xf numFmtId="0" fontId="0" fillId="0" borderId="0" xfId="0" applyFill="1" applyBorder="1" applyProtection="1"/>
    <xf numFmtId="164" fontId="9" fillId="0" borderId="20" xfId="1" applyNumberFormat="1" applyFont="1" applyBorder="1"/>
    <xf numFmtId="164" fontId="9" fillId="0" borderId="10" xfId="1" applyNumberFormat="1" applyFont="1" applyBorder="1"/>
    <xf numFmtId="164" fontId="0" fillId="0" borderId="21" xfId="1" applyNumberFormat="1" applyFont="1" applyBorder="1"/>
    <xf numFmtId="164" fontId="0" fillId="0" borderId="18" xfId="1" applyNumberFormat="1" applyFont="1" applyBorder="1"/>
    <xf numFmtId="164" fontId="0" fillId="0" borderId="14" xfId="0" applyNumberFormat="1" applyBorder="1"/>
    <xf numFmtId="164" fontId="0" fillId="0" borderId="19" xfId="0" applyNumberFormat="1" applyBorder="1"/>
    <xf numFmtId="164" fontId="9" fillId="0" borderId="9" xfId="1" applyNumberFormat="1" applyFont="1" applyBorder="1"/>
    <xf numFmtId="164" fontId="0" fillId="0" borderId="0" xfId="0" applyNumberFormat="1" applyBorder="1"/>
    <xf numFmtId="164" fontId="0" fillId="0" borderId="17" xfId="0" applyNumberFormat="1" applyBorder="1"/>
    <xf numFmtId="164" fontId="0" fillId="0" borderId="21" xfId="0" applyNumberFormat="1" applyBorder="1"/>
    <xf numFmtId="164" fontId="0" fillId="0" borderId="18" xfId="0" applyNumberFormat="1" applyBorder="1"/>
    <xf numFmtId="164" fontId="0" fillId="0" borderId="20" xfId="1" applyNumberFormat="1" applyFont="1" applyBorder="1"/>
    <xf numFmtId="164" fontId="0" fillId="0" borderId="9" xfId="1" applyNumberFormat="1" applyFont="1" applyBorder="1"/>
    <xf numFmtId="164" fontId="0" fillId="0" borderId="10" xfId="1" applyNumberFormat="1" applyFont="1" applyBorder="1"/>
    <xf numFmtId="164" fontId="9" fillId="0" borderId="19" xfId="1" applyNumberFormat="1" applyFont="1" applyBorder="1"/>
    <xf numFmtId="164" fontId="9" fillId="0" borderId="17" xfId="1" applyNumberFormat="1" applyFont="1" applyBorder="1"/>
    <xf numFmtId="164" fontId="9" fillId="0" borderId="18" xfId="1" applyNumberFormat="1" applyFont="1" applyBorder="1"/>
    <xf numFmtId="0" fontId="10" fillId="0" borderId="0" xfId="0" applyFont="1"/>
    <xf numFmtId="0" fontId="0" fillId="12" borderId="11" xfId="0" applyFont="1" applyFill="1" applyBorder="1" applyProtection="1"/>
    <xf numFmtId="0" fontId="43" fillId="0" borderId="0" xfId="0" applyFont="1" applyProtection="1"/>
    <xf numFmtId="2" fontId="43" fillId="3" borderId="16" xfId="0" applyNumberFormat="1" applyFont="1" applyFill="1" applyBorder="1" applyProtection="1"/>
    <xf numFmtId="0" fontId="0" fillId="3" borderId="20" xfId="0" applyFont="1" applyFill="1" applyBorder="1" applyAlignment="1" applyProtection="1">
      <alignment horizontal="right"/>
    </xf>
    <xf numFmtId="165" fontId="9" fillId="0" borderId="0" xfId="1" applyNumberFormat="1" applyFont="1"/>
    <xf numFmtId="165" fontId="0" fillId="0" borderId="0" xfId="1" applyNumberFormat="1" applyFont="1"/>
    <xf numFmtId="164" fontId="0" fillId="0" borderId="17" xfId="1" applyNumberFormat="1" applyFont="1"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43" fontId="0" fillId="24" borderId="16" xfId="1" applyFont="1" applyFill="1" applyBorder="1" applyAlignment="1">
      <alignment horizontal="center"/>
    </xf>
    <xf numFmtId="164" fontId="0" fillId="24" borderId="16" xfId="1" applyNumberFormat="1" applyFont="1" applyFill="1" applyBorder="1" applyAlignment="1">
      <alignment horizontal="center"/>
    </xf>
    <xf numFmtId="164" fontId="0" fillId="0" borderId="17" xfId="0" applyNumberFormat="1" applyBorder="1" applyAlignment="1">
      <alignment horizontal="center"/>
    </xf>
    <xf numFmtId="0" fontId="0" fillId="0" borderId="20" xfId="0" applyBorder="1"/>
    <xf numFmtId="0" fontId="0" fillId="0" borderId="14" xfId="0" applyBorder="1"/>
    <xf numFmtId="0" fontId="10" fillId="4" borderId="14" xfId="0" applyFont="1" applyFill="1" applyBorder="1"/>
    <xf numFmtId="0" fontId="0" fillId="4" borderId="14" xfId="0" applyFill="1" applyBorder="1"/>
    <xf numFmtId="0" fontId="10" fillId="7" borderId="14" xfId="0" applyFont="1" applyFill="1" applyBorder="1"/>
    <xf numFmtId="0" fontId="0" fillId="7" borderId="14" xfId="0" applyFill="1" applyBorder="1"/>
    <xf numFmtId="0" fontId="0" fillId="0" borderId="0" xfId="0" applyBorder="1"/>
    <xf numFmtId="164" fontId="0" fillId="22" borderId="0" xfId="1" applyNumberFormat="1" applyFont="1" applyFill="1" applyBorder="1"/>
    <xf numFmtId="164" fontId="0" fillId="0" borderId="0" xfId="1" applyNumberFormat="1" applyFont="1" applyBorder="1"/>
    <xf numFmtId="164" fontId="0" fillId="15" borderId="0" xfId="1" applyNumberFormat="1" applyFont="1" applyFill="1" applyBorder="1"/>
    <xf numFmtId="164" fontId="0" fillId="23" borderId="0" xfId="1" applyNumberFormat="1" applyFont="1" applyFill="1" applyBorder="1"/>
    <xf numFmtId="164" fontId="0" fillId="4" borderId="0" xfId="1" applyNumberFormat="1" applyFont="1" applyFill="1" applyBorder="1"/>
    <xf numFmtId="164" fontId="0" fillId="0" borderId="0" xfId="1" applyNumberFormat="1" applyFont="1" applyFill="1" applyBorder="1"/>
    <xf numFmtId="43" fontId="0" fillId="0" borderId="0" xfId="0" applyNumberFormat="1" applyBorder="1"/>
    <xf numFmtId="0" fontId="44" fillId="0" borderId="0" xfId="0" applyFont="1" applyFill="1" applyProtection="1"/>
    <xf numFmtId="164" fontId="0" fillId="25" borderId="0" xfId="1" applyNumberFormat="1" applyFont="1" applyFill="1" applyBorder="1"/>
    <xf numFmtId="0" fontId="17" fillId="4" borderId="9" xfId="0" applyFont="1" applyFill="1" applyBorder="1" applyAlignment="1" applyProtection="1">
      <alignment horizontal="left"/>
    </xf>
    <xf numFmtId="0" fontId="0" fillId="9" borderId="14" xfId="0" applyFont="1" applyFill="1" applyBorder="1" applyProtection="1"/>
    <xf numFmtId="0" fontId="11" fillId="9" borderId="9" xfId="0" applyFont="1" applyFill="1" applyBorder="1" applyAlignment="1" applyProtection="1">
      <alignment horizontal="right"/>
    </xf>
    <xf numFmtId="0" fontId="17" fillId="9" borderId="0" xfId="0" applyFont="1" applyFill="1" applyBorder="1" applyProtection="1"/>
    <xf numFmtId="0" fontId="16" fillId="8" borderId="2" xfId="0" applyFont="1" applyFill="1" applyBorder="1" applyAlignment="1" applyProtection="1">
      <alignment horizontal="right"/>
      <protection locked="0"/>
    </xf>
    <xf numFmtId="0" fontId="16" fillId="8" borderId="0" xfId="0" applyFont="1" applyFill="1" applyBorder="1" applyAlignment="1" applyProtection="1">
      <alignment horizontal="right"/>
      <protection locked="0"/>
    </xf>
    <xf numFmtId="170" fontId="40" fillId="8" borderId="0" xfId="0" applyNumberFormat="1" applyFont="1" applyFill="1" applyBorder="1" applyAlignment="1" applyProtection="1">
      <alignment horizontal="right"/>
      <protection locked="0"/>
    </xf>
    <xf numFmtId="0" fontId="41" fillId="8" borderId="0" xfId="0" applyFont="1" applyFill="1" applyBorder="1" applyAlignment="1">
      <alignment horizontal="right"/>
    </xf>
    <xf numFmtId="170" fontId="40" fillId="8" borderId="7" xfId="0" applyNumberFormat="1" applyFont="1" applyFill="1" applyBorder="1" applyAlignment="1" applyProtection="1">
      <alignment horizontal="right"/>
      <protection locked="0"/>
    </xf>
    <xf numFmtId="0" fontId="18" fillId="4" borderId="4" xfId="0" applyFont="1" applyFill="1" applyBorder="1"/>
    <xf numFmtId="0" fontId="18" fillId="4" borderId="6" xfId="0" applyFont="1" applyFill="1" applyBorder="1"/>
    <xf numFmtId="164" fontId="24" fillId="8" borderId="0" xfId="1" applyNumberFormat="1" applyFont="1" applyFill="1" applyBorder="1" applyAlignment="1">
      <alignment horizontal="right"/>
    </xf>
    <xf numFmtId="0" fontId="23" fillId="4" borderId="3" xfId="0" applyFont="1" applyFill="1" applyBorder="1"/>
    <xf numFmtId="0" fontId="10" fillId="4" borderId="10" xfId="0" applyFont="1" applyFill="1" applyBorder="1" applyProtection="1"/>
    <xf numFmtId="0" fontId="17" fillId="3" borderId="9" xfId="0" applyFont="1" applyFill="1" applyBorder="1" applyAlignment="1" applyProtection="1">
      <alignment horizontal="right"/>
    </xf>
    <xf numFmtId="0" fontId="11" fillId="3" borderId="14" xfId="0" applyFont="1" applyFill="1" applyBorder="1" applyProtection="1"/>
    <xf numFmtId="0" fontId="11" fillId="3" borderId="19" xfId="0" applyFont="1" applyFill="1" applyBorder="1" applyProtection="1"/>
    <xf numFmtId="9" fontId="20" fillId="3" borderId="20" xfId="2" applyFont="1" applyFill="1" applyBorder="1" applyAlignment="1" applyProtection="1">
      <alignment horizontal="left" wrapText="1"/>
    </xf>
    <xf numFmtId="0" fontId="11" fillId="3" borderId="14" xfId="0" applyFont="1" applyFill="1" applyBorder="1" applyAlignment="1" applyProtection="1">
      <alignment horizontal="right"/>
    </xf>
    <xf numFmtId="0" fontId="11" fillId="0" borderId="0" xfId="0" applyFont="1"/>
    <xf numFmtId="9" fontId="15" fillId="4" borderId="16" xfId="2" applyNumberFormat="1" applyFont="1" applyFill="1" applyBorder="1" applyAlignment="1" applyProtection="1"/>
    <xf numFmtId="0" fontId="20" fillId="4" borderId="11" xfId="0" applyFont="1" applyFill="1" applyBorder="1" applyAlignment="1" applyProtection="1">
      <alignment horizontal="left"/>
    </xf>
    <xf numFmtId="9" fontId="15" fillId="4" borderId="19" xfId="2" applyNumberFormat="1" applyFont="1" applyFill="1" applyBorder="1" applyAlignment="1" applyProtection="1"/>
    <xf numFmtId="0" fontId="17" fillId="4" borderId="10" xfId="0" applyFont="1" applyFill="1" applyBorder="1" applyAlignment="1" applyProtection="1">
      <alignment horizontal="right"/>
    </xf>
    <xf numFmtId="9" fontId="15" fillId="4" borderId="18" xfId="2" applyNumberFormat="1" applyFont="1" applyFill="1" applyBorder="1" applyAlignment="1" applyProtection="1"/>
    <xf numFmtId="9" fontId="15" fillId="4" borderId="17" xfId="2" applyNumberFormat="1" applyFont="1" applyFill="1" applyBorder="1" applyAlignment="1" applyProtection="1"/>
    <xf numFmtId="0" fontId="0" fillId="0" borderId="0" xfId="0" applyFont="1" applyProtection="1"/>
    <xf numFmtId="0" fontId="0" fillId="0" borderId="0" xfId="0" applyFont="1"/>
    <xf numFmtId="0" fontId="46" fillId="2" borderId="20" xfId="0" applyFont="1" applyFill="1" applyBorder="1" applyAlignment="1" applyProtection="1">
      <alignment horizontal="left"/>
    </xf>
    <xf numFmtId="0" fontId="0" fillId="5" borderId="14" xfId="0" applyFont="1" applyFill="1" applyBorder="1" applyProtection="1"/>
    <xf numFmtId="0" fontId="0" fillId="5" borderId="19" xfId="0" applyFont="1" applyFill="1" applyBorder="1" applyProtection="1"/>
    <xf numFmtId="0" fontId="47" fillId="9" borderId="20" xfId="0" applyFont="1" applyFill="1" applyBorder="1" applyAlignment="1" applyProtection="1">
      <alignment horizontal="left"/>
    </xf>
    <xf numFmtId="0" fontId="0" fillId="9" borderId="19" xfId="0" applyFont="1" applyFill="1" applyBorder="1" applyProtection="1"/>
    <xf numFmtId="1" fontId="32" fillId="13" borderId="0" xfId="1" applyNumberFormat="1" applyFont="1" applyFill="1" applyBorder="1" applyAlignment="1" applyProtection="1">
      <alignment horizontal="right"/>
      <protection locked="0"/>
    </xf>
    <xf numFmtId="0" fontId="0" fillId="9" borderId="0" xfId="0" applyFont="1" applyFill="1" applyBorder="1" applyProtection="1"/>
    <xf numFmtId="0" fontId="0" fillId="9" borderId="17" xfId="0" applyFont="1" applyFill="1" applyBorder="1" applyProtection="1"/>
    <xf numFmtId="1" fontId="45" fillId="13" borderId="0" xfId="1" applyNumberFormat="1" applyFont="1" applyFill="1" applyBorder="1" applyAlignment="1" applyProtection="1">
      <alignment horizontal="right"/>
      <protection locked="0"/>
    </xf>
    <xf numFmtId="0" fontId="32" fillId="9" borderId="17" xfId="0" applyFont="1" applyFill="1" applyBorder="1" applyAlignment="1" applyProtection="1">
      <alignment horizontal="center"/>
      <protection locked="0"/>
    </xf>
    <xf numFmtId="0" fontId="0" fillId="0" borderId="0" xfId="0" applyFont="1" applyBorder="1" applyProtection="1"/>
    <xf numFmtId="0" fontId="0" fillId="0" borderId="0" xfId="0" applyFont="1" applyFill="1" applyBorder="1" applyAlignment="1" applyProtection="1">
      <alignment horizontal="right"/>
    </xf>
    <xf numFmtId="0" fontId="0" fillId="0" borderId="0" xfId="0" applyFont="1" applyFill="1" applyProtection="1"/>
    <xf numFmtId="0" fontId="0" fillId="0" borderId="0" xfId="0" applyFont="1" applyFill="1"/>
    <xf numFmtId="0" fontId="0" fillId="12" borderId="16" xfId="0" applyFont="1" applyFill="1" applyBorder="1" applyProtection="1"/>
    <xf numFmtId="0" fontId="0" fillId="12" borderId="11" xfId="0" applyFont="1" applyFill="1" applyBorder="1" applyAlignment="1" applyProtection="1">
      <alignment horizontal="left"/>
    </xf>
    <xf numFmtId="0" fontId="0" fillId="6" borderId="0" xfId="0" applyFont="1" applyFill="1" applyProtection="1"/>
    <xf numFmtId="0" fontId="0" fillId="12" borderId="9" xfId="0" applyFont="1" applyFill="1" applyBorder="1" applyAlignment="1" applyProtection="1">
      <alignment horizontal="right"/>
    </xf>
    <xf numFmtId="2" fontId="0" fillId="12" borderId="17" xfId="0" applyNumberFormat="1" applyFont="1" applyFill="1" applyBorder="1" applyProtection="1"/>
    <xf numFmtId="0" fontId="0" fillId="12" borderId="10" xfId="0" applyFont="1" applyFill="1" applyBorder="1" applyAlignment="1" applyProtection="1">
      <alignment horizontal="right"/>
    </xf>
    <xf numFmtId="2" fontId="0" fillId="12" borderId="18" xfId="0" applyNumberFormat="1" applyFont="1" applyFill="1" applyBorder="1" applyProtection="1"/>
    <xf numFmtId="0" fontId="0" fillId="12" borderId="18" xfId="0" applyFont="1" applyFill="1" applyBorder="1" applyProtection="1"/>
    <xf numFmtId="0" fontId="0" fillId="12" borderId="19" xfId="0" applyFont="1" applyFill="1" applyBorder="1" applyProtection="1"/>
    <xf numFmtId="0" fontId="0" fillId="0" borderId="0" xfId="0" applyFont="1" applyAlignment="1" applyProtection="1">
      <alignment horizontal="right"/>
    </xf>
    <xf numFmtId="0" fontId="47" fillId="2" borderId="14" xfId="0" applyFont="1" applyFill="1" applyBorder="1" applyAlignment="1" applyProtection="1">
      <alignment horizontal="right"/>
    </xf>
    <xf numFmtId="0" fontId="47" fillId="2" borderId="19" xfId="0" applyFont="1" applyFill="1" applyBorder="1" applyAlignment="1" applyProtection="1">
      <alignment horizontal="left"/>
    </xf>
    <xf numFmtId="0" fontId="47" fillId="4" borderId="20" xfId="0" applyFont="1" applyFill="1" applyBorder="1" applyAlignment="1" applyProtection="1">
      <alignment horizontal="left"/>
    </xf>
    <xf numFmtId="0" fontId="47" fillId="4" borderId="14" xfId="0" applyFont="1" applyFill="1" applyBorder="1" applyAlignment="1" applyProtection="1">
      <alignment horizontal="right"/>
    </xf>
    <xf numFmtId="0" fontId="47" fillId="4" borderId="19" xfId="0" applyFont="1" applyFill="1" applyBorder="1" applyAlignment="1" applyProtection="1">
      <alignment horizontal="left"/>
    </xf>
    <xf numFmtId="1" fontId="45" fillId="8" borderId="21" xfId="1" applyNumberFormat="1" applyFont="1" applyFill="1" applyBorder="1" applyAlignment="1" applyProtection="1">
      <alignment horizontal="right"/>
      <protection locked="0"/>
    </xf>
    <xf numFmtId="1" fontId="45" fillId="4" borderId="12" xfId="1" applyNumberFormat="1" applyFont="1" applyFill="1" applyBorder="1" applyAlignment="1" applyProtection="1">
      <alignment horizontal="right"/>
      <protection locked="0"/>
    </xf>
    <xf numFmtId="165" fontId="32" fillId="8" borderId="14" xfId="1" applyNumberFormat="1" applyFont="1" applyFill="1" applyBorder="1" applyAlignment="1" applyProtection="1">
      <alignment horizontal="right"/>
      <protection locked="0"/>
    </xf>
    <xf numFmtId="165" fontId="32" fillId="8" borderId="0" xfId="1" applyNumberFormat="1" applyFont="1" applyFill="1" applyBorder="1" applyAlignment="1" applyProtection="1">
      <alignment horizontal="right"/>
      <protection locked="0"/>
    </xf>
    <xf numFmtId="43" fontId="48" fillId="4" borderId="0" xfId="1" applyNumberFormat="1" applyFont="1" applyFill="1" applyBorder="1" applyAlignment="1" applyProtection="1">
      <alignment horizontal="right"/>
    </xf>
    <xf numFmtId="0" fontId="0" fillId="4" borderId="10" xfId="0" applyFont="1" applyFill="1" applyBorder="1" applyProtection="1"/>
    <xf numFmtId="0" fontId="0" fillId="4" borderId="16" xfId="0" applyFont="1" applyFill="1" applyBorder="1" applyAlignment="1" applyProtection="1">
      <alignment horizontal="right"/>
    </xf>
    <xf numFmtId="0" fontId="0" fillId="4" borderId="16" xfId="0" applyFont="1" applyFill="1" applyBorder="1" applyAlignment="1" applyProtection="1">
      <alignment horizontal="left"/>
    </xf>
    <xf numFmtId="0" fontId="0" fillId="4" borderId="19" xfId="0" applyFont="1" applyFill="1" applyBorder="1" applyAlignment="1" applyProtection="1">
      <alignment horizontal="right"/>
    </xf>
    <xf numFmtId="0" fontId="0" fillId="4" borderId="17" xfId="0" applyFont="1" applyFill="1" applyBorder="1" applyAlignment="1" applyProtection="1">
      <alignment horizontal="right"/>
    </xf>
    <xf numFmtId="0" fontId="0" fillId="4" borderId="18" xfId="0" applyFont="1" applyFill="1" applyBorder="1" applyAlignment="1" applyProtection="1">
      <alignment horizontal="right"/>
    </xf>
    <xf numFmtId="0" fontId="47" fillId="3" borderId="20" xfId="0" applyFont="1" applyFill="1" applyBorder="1" applyAlignment="1" applyProtection="1">
      <alignment horizontal="left"/>
    </xf>
    <xf numFmtId="0" fontId="0" fillId="3" borderId="9" xfId="0" applyFont="1" applyFill="1" applyBorder="1" applyAlignment="1" applyProtection="1">
      <alignment horizontal="right"/>
    </xf>
    <xf numFmtId="1" fontId="45" fillId="11" borderId="0" xfId="1" applyNumberFormat="1" applyFont="1" applyFill="1" applyBorder="1" applyAlignment="1" applyProtection="1">
      <alignment horizontal="right"/>
      <protection locked="0"/>
    </xf>
    <xf numFmtId="0" fontId="0" fillId="3" borderId="0" xfId="0" applyFont="1" applyFill="1" applyBorder="1" applyAlignment="1" applyProtection="1">
      <alignment horizontal="right"/>
    </xf>
    <xf numFmtId="0" fontId="0" fillId="3" borderId="0" xfId="0" applyFont="1" applyFill="1" applyBorder="1" applyProtection="1"/>
    <xf numFmtId="165" fontId="49" fillId="3" borderId="17" xfId="1" applyNumberFormat="1" applyFont="1" applyFill="1" applyBorder="1" applyAlignment="1" applyProtection="1"/>
    <xf numFmtId="165" fontId="45" fillId="3" borderId="14" xfId="1" applyNumberFormat="1" applyFont="1" applyFill="1" applyBorder="1" applyAlignment="1" applyProtection="1"/>
    <xf numFmtId="0" fontId="0" fillId="3" borderId="16" xfId="0" applyFont="1" applyFill="1" applyBorder="1" applyProtection="1"/>
    <xf numFmtId="2" fontId="0" fillId="3" borderId="17" xfId="0" applyNumberFormat="1" applyFont="1" applyFill="1" applyBorder="1" applyProtection="1"/>
    <xf numFmtId="0" fontId="0" fillId="3" borderId="10" xfId="0" applyFont="1" applyFill="1" applyBorder="1" applyAlignment="1" applyProtection="1">
      <alignment horizontal="right"/>
    </xf>
    <xf numFmtId="0" fontId="0" fillId="0" borderId="12" xfId="0" applyFont="1" applyFill="1" applyBorder="1" applyProtection="1"/>
    <xf numFmtId="2" fontId="0" fillId="0" borderId="0" xfId="0" applyNumberFormat="1" applyFont="1" applyFill="1" applyBorder="1" applyProtection="1"/>
    <xf numFmtId="0" fontId="0" fillId="0" borderId="12" xfId="0" applyFont="1" applyFill="1" applyBorder="1" applyAlignment="1" applyProtection="1">
      <alignment horizontal="right"/>
    </xf>
    <xf numFmtId="0" fontId="0" fillId="0" borderId="0" xfId="0" applyFont="1" applyFill="1" applyAlignment="1" applyProtection="1">
      <alignment horizontal="right"/>
    </xf>
    <xf numFmtId="0" fontId="17" fillId="12" borderId="17" xfId="0" applyFont="1" applyFill="1" applyBorder="1" applyProtection="1"/>
    <xf numFmtId="0" fontId="17" fillId="12" borderId="11" xfId="0" applyFont="1" applyFill="1" applyBorder="1" applyProtection="1"/>
    <xf numFmtId="0" fontId="17" fillId="12" borderId="20" xfId="0" applyFont="1" applyFill="1" applyBorder="1" applyAlignment="1" applyProtection="1">
      <alignment horizontal="right"/>
    </xf>
    <xf numFmtId="0" fontId="17" fillId="12" borderId="10" xfId="0" applyFont="1" applyFill="1" applyBorder="1" applyAlignment="1" applyProtection="1">
      <alignment horizontal="right"/>
    </xf>
    <xf numFmtId="0" fontId="17" fillId="0" borderId="0" xfId="0" applyFont="1" applyFill="1" applyAlignment="1" applyProtection="1">
      <alignment horizontal="right"/>
    </xf>
    <xf numFmtId="0" fontId="43" fillId="0" borderId="0" xfId="0" applyFont="1" applyFill="1" applyProtection="1"/>
    <xf numFmtId="0" fontId="43" fillId="0" borderId="0" xfId="0" applyFont="1" applyFill="1" applyBorder="1" applyAlignment="1" applyProtection="1">
      <alignment horizontal="right"/>
    </xf>
    <xf numFmtId="2" fontId="43" fillId="0" borderId="0" xfId="0" applyNumberFormat="1" applyFont="1" applyFill="1" applyBorder="1" applyProtection="1"/>
    <xf numFmtId="0" fontId="17" fillId="6" borderId="0" xfId="0" applyFont="1" applyFill="1" applyProtection="1"/>
    <xf numFmtId="0" fontId="17" fillId="3" borderId="10" xfId="0" applyFont="1" applyFill="1" applyBorder="1" applyAlignment="1" applyProtection="1">
      <alignment horizontal="right"/>
    </xf>
    <xf numFmtId="2" fontId="17" fillId="3" borderId="18" xfId="0" applyNumberFormat="1" applyFont="1" applyFill="1" applyBorder="1" applyProtection="1"/>
    <xf numFmtId="0" fontId="0" fillId="0" borderId="14" xfId="0" applyFont="1" applyFill="1" applyBorder="1" applyProtection="1"/>
    <xf numFmtId="2" fontId="0" fillId="0" borderId="14" xfId="2" applyNumberFormat="1" applyFont="1" applyFill="1" applyBorder="1" applyAlignment="1" applyProtection="1">
      <alignment horizontal="right"/>
    </xf>
    <xf numFmtId="1" fontId="0" fillId="0" borderId="14" xfId="2" applyNumberFormat="1" applyFont="1" applyFill="1" applyBorder="1" applyAlignment="1" applyProtection="1">
      <alignment horizontal="right"/>
    </xf>
    <xf numFmtId="0" fontId="17" fillId="0" borderId="14" xfId="0" applyFont="1" applyFill="1" applyBorder="1" applyProtection="1"/>
    <xf numFmtId="1" fontId="17" fillId="0" borderId="14" xfId="2" applyNumberFormat="1" applyFont="1" applyFill="1" applyBorder="1" applyAlignment="1" applyProtection="1">
      <alignment horizontal="right"/>
    </xf>
    <xf numFmtId="2" fontId="17" fillId="4" borderId="19" xfId="2" applyNumberFormat="1" applyFont="1" applyFill="1" applyBorder="1" applyAlignment="1" applyProtection="1">
      <alignment horizontal="right"/>
    </xf>
    <xf numFmtId="2" fontId="17" fillId="4" borderId="18" xfId="2" applyNumberFormat="1" applyFont="1" applyFill="1" applyBorder="1" applyAlignment="1" applyProtection="1">
      <alignment horizontal="right"/>
    </xf>
    <xf numFmtId="0" fontId="17" fillId="3" borderId="11" xfId="0" applyFont="1" applyFill="1" applyBorder="1" applyAlignment="1" applyProtection="1">
      <alignment horizontal="left"/>
    </xf>
    <xf numFmtId="1" fontId="45" fillId="13" borderId="0" xfId="1" applyNumberFormat="1" applyFont="1" applyFill="1" applyBorder="1" applyAlignment="1" applyProtection="1">
      <protection locked="0"/>
    </xf>
    <xf numFmtId="1" fontId="45" fillId="11" borderId="0" xfId="1" applyNumberFormat="1" applyFont="1" applyFill="1" applyBorder="1" applyAlignment="1" applyProtection="1">
      <protection locked="0"/>
    </xf>
    <xf numFmtId="0" fontId="0" fillId="27" borderId="21" xfId="0" applyFont="1" applyFill="1" applyBorder="1" applyProtection="1"/>
    <xf numFmtId="0" fontId="0" fillId="27" borderId="0" xfId="0" applyFont="1" applyFill="1" applyProtection="1"/>
    <xf numFmtId="1" fontId="45" fillId="11" borderId="21" xfId="1" applyNumberFormat="1" applyFont="1" applyFill="1" applyBorder="1" applyAlignment="1" applyProtection="1">
      <alignment horizontal="right"/>
      <protection locked="0"/>
    </xf>
    <xf numFmtId="9" fontId="17" fillId="3" borderId="9" xfId="2" applyFont="1" applyFill="1" applyBorder="1" applyAlignment="1" applyProtection="1">
      <alignment horizontal="right" wrapText="1"/>
    </xf>
    <xf numFmtId="0" fontId="50" fillId="27" borderId="21" xfId="0" applyFont="1" applyFill="1" applyBorder="1" applyProtection="1"/>
    <xf numFmtId="0" fontId="50" fillId="27" borderId="0" xfId="0" applyFont="1" applyFill="1" applyProtection="1"/>
    <xf numFmtId="0" fontId="0" fillId="10" borderId="7" xfId="0" applyFill="1" applyBorder="1" applyAlignment="1">
      <alignment horizontal="center"/>
    </xf>
    <xf numFmtId="0" fontId="25" fillId="0" borderId="0" xfId="0" applyFont="1"/>
    <xf numFmtId="0" fontId="25" fillId="0" borderId="0" xfId="0" applyFont="1" applyAlignment="1">
      <alignment wrapText="1"/>
    </xf>
    <xf numFmtId="43" fontId="10" fillId="0" borderId="0" xfId="0" applyNumberFormat="1" applyFont="1" applyFill="1" applyBorder="1"/>
    <xf numFmtId="0" fontId="39" fillId="0" borderId="0" xfId="0" applyFont="1" applyFill="1" applyBorder="1" applyAlignment="1"/>
    <xf numFmtId="43" fontId="37" fillId="0" borderId="0" xfId="0" applyNumberFormat="1" applyFont="1" applyFill="1" applyBorder="1"/>
    <xf numFmtId="0" fontId="0" fillId="0" borderId="0" xfId="0" applyFill="1" applyBorder="1" applyAlignment="1">
      <alignment horizontal="center"/>
    </xf>
    <xf numFmtId="0" fontId="39" fillId="0" borderId="0" xfId="0" applyFont="1" applyFill="1" applyBorder="1" applyAlignment="1">
      <alignment horizontal="center"/>
    </xf>
    <xf numFmtId="0" fontId="17" fillId="0" borderId="0" xfId="0" applyFont="1" applyFill="1" applyBorder="1"/>
    <xf numFmtId="0" fontId="2" fillId="0" borderId="0" xfId="0" applyFont="1" applyFill="1" applyBorder="1" applyAlignment="1">
      <alignment horizontal="center" wrapText="1"/>
    </xf>
    <xf numFmtId="164" fontId="10" fillId="0" borderId="0" xfId="1" applyNumberFormat="1" applyFont="1" applyFill="1" applyBorder="1"/>
    <xf numFmtId="43" fontId="4" fillId="0" borderId="0" xfId="0" applyNumberFormat="1" applyFont="1" applyFill="1" applyBorder="1"/>
    <xf numFmtId="43" fontId="0" fillId="0" borderId="0" xfId="0" applyNumberFormat="1" applyFill="1"/>
    <xf numFmtId="164" fontId="0" fillId="14" borderId="9" xfId="1" applyNumberFormat="1" applyFont="1" applyFill="1" applyBorder="1"/>
    <xf numFmtId="0" fontId="18" fillId="22" borderId="11" xfId="0" applyFont="1" applyFill="1" applyBorder="1" applyAlignment="1">
      <alignment horizontal="center" wrapText="1"/>
    </xf>
    <xf numFmtId="0" fontId="18" fillId="22" borderId="12" xfId="0" applyFont="1" applyFill="1" applyBorder="1" applyAlignment="1">
      <alignment horizontal="center" wrapText="1"/>
    </xf>
    <xf numFmtId="0" fontId="18" fillId="22" borderId="16" xfId="0" applyFont="1" applyFill="1" applyBorder="1" applyAlignment="1">
      <alignment horizontal="center" wrapText="1"/>
    </xf>
    <xf numFmtId="0" fontId="2" fillId="10" borderId="16" xfId="0" applyFont="1" applyFill="1" applyBorder="1" applyAlignment="1">
      <alignment horizontal="center" wrapText="1"/>
    </xf>
    <xf numFmtId="164" fontId="10" fillId="10" borderId="17" xfId="1" applyNumberFormat="1" applyFont="1" applyFill="1" applyBorder="1"/>
    <xf numFmtId="164" fontId="17" fillId="22" borderId="9" xfId="1" applyNumberFormat="1" applyFont="1" applyFill="1" applyBorder="1" applyAlignment="1" applyProtection="1">
      <alignment horizontal="right"/>
    </xf>
    <xf numFmtId="43" fontId="17" fillId="22" borderId="0" xfId="1" applyFont="1" applyFill="1" applyBorder="1" applyAlignment="1" applyProtection="1">
      <alignment horizontal="right"/>
    </xf>
    <xf numFmtId="164" fontId="17" fillId="22" borderId="17" xfId="1" applyNumberFormat="1" applyFont="1" applyFill="1" applyBorder="1" applyAlignment="1" applyProtection="1"/>
    <xf numFmtId="43" fontId="4" fillId="20" borderId="7" xfId="1" applyFont="1" applyFill="1" applyBorder="1"/>
    <xf numFmtId="169" fontId="4" fillId="10" borderId="29" xfId="0" applyNumberFormat="1" applyFont="1" applyFill="1" applyBorder="1"/>
    <xf numFmtId="0" fontId="4" fillId="10" borderId="29" xfId="0" applyFont="1" applyFill="1" applyBorder="1"/>
    <xf numFmtId="43" fontId="4" fillId="10" borderId="28" xfId="0" applyNumberFormat="1" applyFont="1" applyFill="1" applyBorder="1"/>
    <xf numFmtId="43" fontId="4" fillId="20" borderId="26" xfId="1" applyFont="1" applyFill="1" applyBorder="1"/>
    <xf numFmtId="168" fontId="0" fillId="10" borderId="14" xfId="1" applyNumberFormat="1" applyFont="1" applyFill="1" applyBorder="1"/>
    <xf numFmtId="0" fontId="12" fillId="0" borderId="0" xfId="0" applyFont="1"/>
    <xf numFmtId="0" fontId="12" fillId="6" borderId="0" xfId="0" applyFont="1" applyFill="1"/>
    <xf numFmtId="168" fontId="0" fillId="0" borderId="0" xfId="1" applyNumberFormat="1" applyFont="1" applyFill="1" applyBorder="1"/>
    <xf numFmtId="171" fontId="19" fillId="0" borderId="0" xfId="1" applyNumberFormat="1" applyFont="1" applyFill="1" applyBorder="1"/>
    <xf numFmtId="171" fontId="20" fillId="0" borderId="0" xfId="0" applyNumberFormat="1" applyFont="1" applyFill="1" applyBorder="1"/>
    <xf numFmtId="0" fontId="2" fillId="0" borderId="0" xfId="0" applyFont="1" applyFill="1" applyBorder="1"/>
    <xf numFmtId="0" fontId="1" fillId="0" borderId="0" xfId="0" applyFont="1" applyFill="1" applyBorder="1" applyAlignment="1">
      <alignment horizontal="left" indent="1"/>
    </xf>
    <xf numFmtId="0" fontId="42" fillId="0" borderId="0" xfId="0" applyFont="1" applyFill="1" applyBorder="1" applyAlignment="1">
      <alignment horizontal="left" indent="1"/>
    </xf>
    <xf numFmtId="168" fontId="38" fillId="0" borderId="0" xfId="1" applyNumberFormat="1" applyFont="1" applyFill="1" applyBorder="1"/>
    <xf numFmtId="0" fontId="10" fillId="0" borderId="0" xfId="0" applyFont="1" applyFill="1" applyBorder="1"/>
    <xf numFmtId="0" fontId="3" fillId="0" borderId="0" xfId="0" applyFont="1" applyFill="1" applyBorder="1"/>
    <xf numFmtId="0" fontId="0" fillId="0" borderId="0" xfId="0" applyFill="1" applyBorder="1" applyAlignment="1">
      <alignment horizontal="left" indent="1"/>
    </xf>
    <xf numFmtId="0" fontId="0" fillId="0" borderId="0" xfId="0" applyFill="1" applyBorder="1" applyAlignment="1">
      <alignment horizontal="left" indent="3"/>
    </xf>
    <xf numFmtId="171" fontId="38" fillId="0" borderId="0" xfId="0" applyNumberFormat="1" applyFont="1" applyFill="1" applyBorder="1"/>
    <xf numFmtId="0" fontId="38" fillId="0" borderId="0" xfId="0" applyFont="1" applyFill="1" applyBorder="1"/>
    <xf numFmtId="0" fontId="18" fillId="0" borderId="0" xfId="0" applyFont="1" applyFill="1" applyBorder="1"/>
    <xf numFmtId="0" fontId="36" fillId="0" borderId="0" xfId="0" quotePrefix="1" applyFont="1" applyFill="1" applyBorder="1"/>
    <xf numFmtId="0" fontId="35" fillId="0" borderId="0" xfId="0" applyFont="1" applyFill="1" applyBorder="1"/>
    <xf numFmtId="0" fontId="12" fillId="0" borderId="0" xfId="0" applyFont="1" applyAlignment="1">
      <alignment horizontal="left"/>
    </xf>
    <xf numFmtId="0" fontId="10" fillId="0" borderId="0" xfId="0" applyFont="1" applyAlignment="1">
      <alignment horizontal="left"/>
    </xf>
    <xf numFmtId="0" fontId="10" fillId="0" borderId="0" xfId="0" applyFont="1" applyFill="1"/>
    <xf numFmtId="0" fontId="52" fillId="0" borderId="0" xfId="0" applyFont="1"/>
    <xf numFmtId="0" fontId="0" fillId="6" borderId="0" xfId="0" applyFont="1" applyFill="1"/>
    <xf numFmtId="0" fontId="52" fillId="6" borderId="0" xfId="0" applyFont="1" applyFill="1"/>
    <xf numFmtId="15" fontId="0" fillId="0" borderId="0" xfId="0" applyNumberFormat="1" applyAlignment="1">
      <alignment horizontal="center"/>
    </xf>
    <xf numFmtId="0" fontId="10" fillId="16" borderId="9" xfId="0" applyFont="1" applyFill="1" applyBorder="1"/>
    <xf numFmtId="49" fontId="45" fillId="11" borderId="0" xfId="1" applyNumberFormat="1" applyFont="1" applyFill="1" applyBorder="1" applyAlignment="1" applyProtection="1">
      <alignment horizontal="right"/>
      <protection locked="0"/>
    </xf>
    <xf numFmtId="1" fontId="45" fillId="8" borderId="0" xfId="1" applyNumberFormat="1" applyFont="1" applyFill="1" applyBorder="1" applyAlignment="1" applyProtection="1">
      <alignment horizontal="right"/>
      <protection locked="0"/>
    </xf>
    <xf numFmtId="165" fontId="45" fillId="8" borderId="0" xfId="1" applyNumberFormat="1" applyFont="1" applyFill="1" applyBorder="1" applyAlignment="1" applyProtection="1">
      <alignment horizontal="right"/>
      <protection locked="0"/>
    </xf>
    <xf numFmtId="0" fontId="0" fillId="0" borderId="17" xfId="0" applyBorder="1"/>
    <xf numFmtId="0" fontId="0" fillId="0" borderId="15" xfId="0" applyBorder="1"/>
    <xf numFmtId="0" fontId="17" fillId="12" borderId="11" xfId="0" applyFont="1" applyFill="1" applyBorder="1" applyAlignment="1" applyProtection="1">
      <alignment horizontal="left" wrapText="1"/>
    </xf>
    <xf numFmtId="0" fontId="17" fillId="12" borderId="16" xfId="0" applyFont="1" applyFill="1" applyBorder="1" applyAlignment="1" applyProtection="1">
      <alignment wrapText="1"/>
    </xf>
    <xf numFmtId="0" fontId="17" fillId="12" borderId="9" xfId="0" applyFont="1" applyFill="1" applyBorder="1" applyAlignment="1" applyProtection="1">
      <alignment horizontal="right"/>
    </xf>
    <xf numFmtId="0" fontId="25" fillId="0" borderId="0" xfId="0" applyFont="1" applyBorder="1"/>
    <xf numFmtId="9" fontId="27" fillId="3" borderId="10" xfId="2" applyFont="1" applyFill="1" applyBorder="1" applyAlignment="1" applyProtection="1">
      <alignment horizontal="left" wrapText="1"/>
    </xf>
    <xf numFmtId="165" fontId="45" fillId="13" borderId="21" xfId="1" applyNumberFormat="1" applyFont="1" applyFill="1" applyBorder="1" applyAlignment="1" applyProtection="1">
      <alignment horizontal="right"/>
      <protection locked="0"/>
    </xf>
    <xf numFmtId="2" fontId="45" fillId="13" borderId="0" xfId="1" applyNumberFormat="1" applyFont="1" applyFill="1" applyBorder="1" applyAlignment="1" applyProtection="1">
      <alignment horizontal="right"/>
    </xf>
    <xf numFmtId="0" fontId="15" fillId="9" borderId="9" xfId="0" applyFont="1" applyFill="1" applyBorder="1" applyAlignment="1" applyProtection="1">
      <alignment horizontal="right"/>
    </xf>
    <xf numFmtId="0" fontId="0" fillId="0" borderId="0" xfId="0" applyFont="1"/>
    <xf numFmtId="49" fontId="45" fillId="13" borderId="0" xfId="0" applyNumberFormat="1" applyFont="1" applyFill="1" applyBorder="1" applyAlignment="1" applyProtection="1">
      <alignment horizontal="right"/>
      <protection locked="0"/>
    </xf>
    <xf numFmtId="171" fontId="45" fillId="13" borderId="0" xfId="1" applyNumberFormat="1" applyFont="1" applyFill="1" applyBorder="1" applyAlignment="1" applyProtection="1">
      <protection locked="0"/>
    </xf>
    <xf numFmtId="172" fontId="0" fillId="0" borderId="0" xfId="0" applyNumberFormat="1"/>
    <xf numFmtId="169" fontId="0" fillId="0" borderId="0" xfId="1" applyNumberFormat="1" applyFont="1"/>
    <xf numFmtId="0" fontId="0" fillId="0" borderId="21" xfId="0" applyFill="1" applyBorder="1"/>
    <xf numFmtId="164" fontId="0" fillId="0" borderId="18" xfId="1" applyNumberFormat="1" applyFont="1" applyFill="1" applyBorder="1"/>
    <xf numFmtId="0" fontId="0" fillId="7" borderId="19" xfId="0" applyFill="1" applyBorder="1"/>
    <xf numFmtId="164" fontId="0" fillId="25" borderId="17" xfId="1" applyNumberFormat="1" applyFont="1" applyFill="1" applyBorder="1"/>
    <xf numFmtId="164" fontId="0" fillId="0" borderId="17" xfId="1" applyNumberFormat="1" applyFont="1" applyBorder="1"/>
    <xf numFmtId="0" fontId="0" fillId="0" borderId="0" xfId="0" applyAlignment="1">
      <alignment horizontal="left" wrapText="1"/>
    </xf>
    <xf numFmtId="165" fontId="45" fillId="13" borderId="0" xfId="1" applyNumberFormat="1" applyFont="1" applyFill="1" applyBorder="1" applyAlignment="1" applyProtection="1">
      <alignment horizontal="right"/>
      <protection locked="0"/>
    </xf>
    <xf numFmtId="0" fontId="0" fillId="0" borderId="0" xfId="0" applyFont="1"/>
    <xf numFmtId="0" fontId="0" fillId="0" borderId="0" xfId="0" applyFont="1" applyFill="1"/>
    <xf numFmtId="0" fontId="0" fillId="0" borderId="0" xfId="0" applyFont="1" applyFill="1" applyBorder="1"/>
    <xf numFmtId="0" fontId="17" fillId="12" borderId="17" xfId="0" applyFont="1" applyFill="1" applyBorder="1" applyProtection="1"/>
    <xf numFmtId="0" fontId="17" fillId="12" borderId="18" xfId="0" applyFont="1" applyFill="1" applyBorder="1" applyProtection="1"/>
    <xf numFmtId="0" fontId="17" fillId="12" borderId="10" xfId="0" applyFont="1" applyFill="1" applyBorder="1" applyAlignment="1" applyProtection="1">
      <alignment horizontal="right"/>
    </xf>
    <xf numFmtId="0" fontId="17" fillId="12" borderId="16" xfId="0" applyFont="1" applyFill="1" applyBorder="1" applyAlignment="1" applyProtection="1">
      <alignment wrapText="1"/>
    </xf>
    <xf numFmtId="0" fontId="17" fillId="12" borderId="9" xfId="0" applyFont="1" applyFill="1" applyBorder="1" applyAlignment="1" applyProtection="1">
      <alignment horizontal="right"/>
    </xf>
    <xf numFmtId="9" fontId="17" fillId="9" borderId="9" xfId="2" applyFont="1" applyFill="1" applyBorder="1" applyAlignment="1">
      <alignment horizontal="right"/>
    </xf>
    <xf numFmtId="9" fontId="17" fillId="9" borderId="9" xfId="2" applyFont="1" applyFill="1" applyBorder="1" applyAlignment="1" applyProtection="1">
      <alignment horizontal="right" wrapText="1"/>
    </xf>
    <xf numFmtId="9" fontId="20" fillId="9" borderId="20" xfId="2" applyFont="1" applyFill="1" applyBorder="1" applyAlignment="1" applyProtection="1">
      <alignment horizontal="left" wrapText="1"/>
    </xf>
    <xf numFmtId="1" fontId="45" fillId="9" borderId="14" xfId="1" applyNumberFormat="1" applyFont="1" applyFill="1" applyBorder="1" applyAlignment="1" applyProtection="1">
      <protection locked="0"/>
    </xf>
    <xf numFmtId="0" fontId="17" fillId="12" borderId="11" xfId="0" applyFont="1" applyFill="1" applyBorder="1" applyAlignment="1" applyProtection="1">
      <alignment horizontal="left"/>
    </xf>
    <xf numFmtId="0" fontId="17" fillId="0" borderId="0" xfId="0" applyFont="1" applyAlignment="1">
      <alignment wrapText="1"/>
    </xf>
    <xf numFmtId="169" fontId="0" fillId="0" borderId="0" xfId="0" applyNumberFormat="1" applyBorder="1"/>
    <xf numFmtId="0" fontId="10" fillId="14" borderId="14" xfId="0" applyFont="1" applyFill="1" applyBorder="1" applyAlignment="1">
      <alignment horizontal="center"/>
    </xf>
    <xf numFmtId="164" fontId="0" fillId="0" borderId="11" xfId="0" applyNumberFormat="1" applyBorder="1"/>
    <xf numFmtId="0" fontId="0" fillId="0" borderId="12" xfId="0" applyBorder="1"/>
    <xf numFmtId="164" fontId="0" fillId="0" borderId="12" xfId="0" applyNumberFormat="1" applyBorder="1"/>
    <xf numFmtId="0" fontId="10" fillId="0" borderId="21" xfId="0" applyFont="1" applyBorder="1" applyAlignment="1">
      <alignment horizontal="center"/>
    </xf>
    <xf numFmtId="0" fontId="0" fillId="14" borderId="21" xfId="0" applyFill="1" applyBorder="1" applyAlignment="1">
      <alignment horizontal="center"/>
    </xf>
    <xf numFmtId="0" fontId="0" fillId="4" borderId="21" xfId="0" applyFill="1" applyBorder="1" applyAlignment="1">
      <alignment horizontal="center"/>
    </xf>
    <xf numFmtId="0" fontId="0" fillId="7" borderId="21" xfId="0" applyFill="1" applyBorder="1" applyAlignment="1">
      <alignment horizontal="center"/>
    </xf>
    <xf numFmtId="0" fontId="0" fillId="7" borderId="18" xfId="0" applyFill="1" applyBorder="1" applyAlignment="1">
      <alignment horizontal="center"/>
    </xf>
    <xf numFmtId="0" fontId="0" fillId="0" borderId="0" xfId="0"/>
    <xf numFmtId="170" fontId="0" fillId="0" borderId="0" xfId="0" applyNumberFormat="1" applyFill="1" applyBorder="1"/>
    <xf numFmtId="170" fontId="0" fillId="3" borderId="20" xfId="0" applyNumberFormat="1" applyFill="1" applyBorder="1"/>
    <xf numFmtId="170" fontId="0" fillId="3" borderId="19" xfId="0" applyNumberFormat="1" applyFill="1" applyBorder="1"/>
    <xf numFmtId="170" fontId="0" fillId="0" borderId="9" xfId="0" applyNumberFormat="1" applyBorder="1"/>
    <xf numFmtId="170" fontId="0" fillId="0" borderId="17" xfId="0" applyNumberFormat="1" applyBorder="1"/>
    <xf numFmtId="170" fontId="0" fillId="3" borderId="10" xfId="0" applyNumberFormat="1" applyFill="1" applyBorder="1"/>
    <xf numFmtId="170" fontId="0" fillId="3" borderId="18" xfId="0" applyNumberFormat="1" applyFill="1" applyBorder="1"/>
    <xf numFmtId="0" fontId="0" fillId="3" borderId="22" xfId="0" applyFill="1" applyBorder="1"/>
    <xf numFmtId="0" fontId="0" fillId="3" borderId="23" xfId="0" applyFill="1" applyBorder="1"/>
    <xf numFmtId="0" fontId="70" fillId="0" borderId="0" xfId="0" applyFont="1" applyAlignment="1">
      <alignment wrapText="1"/>
    </xf>
    <xf numFmtId="43" fontId="4" fillId="14" borderId="26" xfId="1" applyNumberFormat="1" applyFont="1" applyFill="1" applyBorder="1"/>
    <xf numFmtId="164" fontId="17" fillId="22" borderId="10" xfId="1" applyNumberFormat="1" applyFont="1" applyFill="1" applyBorder="1" applyAlignment="1" applyProtection="1">
      <alignment horizontal="right"/>
    </xf>
    <xf numFmtId="43" fontId="17" fillId="22" borderId="21" xfId="1" applyFont="1" applyFill="1" applyBorder="1" applyAlignment="1" applyProtection="1">
      <alignment horizontal="right"/>
    </xf>
    <xf numFmtId="164" fontId="17" fillId="22" borderId="18" xfId="1" applyNumberFormat="1" applyFont="1" applyFill="1" applyBorder="1" applyAlignment="1" applyProtection="1"/>
    <xf numFmtId="0" fontId="10" fillId="7" borderId="16" xfId="0" applyFont="1" applyFill="1" applyBorder="1" applyAlignment="1">
      <alignment horizontal="center" wrapText="1"/>
    </xf>
    <xf numFmtId="0" fontId="0" fillId="11" borderId="11" xfId="0" applyFill="1" applyBorder="1"/>
    <xf numFmtId="0" fontId="0" fillId="11" borderId="12" xfId="0" applyFill="1" applyBorder="1"/>
    <xf numFmtId="0" fontId="0" fillId="11" borderId="16" xfId="0" applyFill="1" applyBorder="1"/>
    <xf numFmtId="2" fontId="0" fillId="3" borderId="19" xfId="0" applyNumberFormat="1" applyFont="1" applyFill="1" applyBorder="1" applyProtection="1"/>
    <xf numFmtId="9" fontId="71" fillId="3" borderId="0" xfId="2" applyFont="1" applyFill="1" applyBorder="1" applyAlignment="1" applyProtection="1">
      <alignment horizontal="right"/>
    </xf>
    <xf numFmtId="9" fontId="71" fillId="3" borderId="0" xfId="0" applyNumberFormat="1" applyFont="1" applyFill="1" applyBorder="1" applyAlignment="1" applyProtection="1">
      <alignment horizontal="left"/>
    </xf>
    <xf numFmtId="9" fontId="0" fillId="3" borderId="10" xfId="2" applyFont="1" applyFill="1" applyBorder="1" applyAlignment="1" applyProtection="1">
      <alignment horizontal="right" wrapText="1"/>
    </xf>
    <xf numFmtId="49" fontId="45" fillId="11" borderId="21" xfId="1" applyNumberFormat="1" applyFont="1" applyFill="1" applyBorder="1" applyAlignment="1" applyProtection="1">
      <alignment horizontal="right"/>
      <protection locked="0"/>
    </xf>
    <xf numFmtId="2" fontId="71" fillId="9" borderId="17" xfId="0" applyNumberFormat="1" applyFont="1" applyFill="1" applyBorder="1" applyAlignment="1" applyProtection="1">
      <alignment horizontal="left"/>
    </xf>
    <xf numFmtId="1" fontId="71" fillId="9" borderId="17" xfId="0" applyNumberFormat="1" applyFont="1" applyFill="1" applyBorder="1" applyAlignment="1" applyProtection="1">
      <alignment horizontal="center"/>
    </xf>
    <xf numFmtId="9" fontId="72" fillId="9" borderId="14" xfId="2" applyFont="1" applyFill="1" applyBorder="1" applyAlignment="1" applyProtection="1">
      <alignment horizontal="center"/>
    </xf>
    <xf numFmtId="1" fontId="71" fillId="9" borderId="19" xfId="0" applyNumberFormat="1" applyFont="1" applyFill="1" applyBorder="1" applyAlignment="1" applyProtection="1">
      <alignment horizontal="center"/>
    </xf>
    <xf numFmtId="1" fontId="71" fillId="9" borderId="0" xfId="2" applyNumberFormat="1" applyFont="1" applyFill="1" applyBorder="1" applyAlignment="1" applyProtection="1">
      <alignment horizontal="right"/>
    </xf>
    <xf numFmtId="9" fontId="71" fillId="9" borderId="17" xfId="2" applyFont="1" applyFill="1" applyBorder="1" applyAlignment="1" applyProtection="1">
      <alignment horizontal="right"/>
    </xf>
    <xf numFmtId="9" fontId="71" fillId="9" borderId="17" xfId="2" applyFont="1" applyFill="1" applyBorder="1" applyAlignment="1" applyProtection="1">
      <alignment horizontal="center"/>
    </xf>
    <xf numFmtId="1" fontId="71" fillId="9" borderId="0" xfId="2" applyNumberFormat="1" applyFont="1" applyFill="1" applyBorder="1" applyAlignment="1">
      <alignment horizontal="right"/>
    </xf>
    <xf numFmtId="9" fontId="71" fillId="9" borderId="18" xfId="2" applyFont="1" applyFill="1" applyBorder="1" applyAlignment="1" applyProtection="1">
      <alignment horizontal="center"/>
    </xf>
    <xf numFmtId="1" fontId="72" fillId="9" borderId="0" xfId="2" applyNumberFormat="1" applyFont="1" applyFill="1" applyBorder="1" applyAlignment="1" applyProtection="1">
      <alignment horizontal="right"/>
    </xf>
    <xf numFmtId="9" fontId="15" fillId="9" borderId="9" xfId="2" applyFont="1" applyFill="1" applyBorder="1" applyAlignment="1">
      <alignment horizontal="right"/>
    </xf>
    <xf numFmtId="2" fontId="71" fillId="9" borderId="0" xfId="2" applyNumberFormat="1" applyFont="1" applyFill="1" applyBorder="1" applyAlignment="1" applyProtection="1">
      <alignment horizontal="right"/>
    </xf>
    <xf numFmtId="9" fontId="20" fillId="9" borderId="14" xfId="2" applyFont="1" applyFill="1" applyBorder="1" applyAlignment="1" applyProtection="1">
      <alignment horizontal="left" wrapText="1"/>
    </xf>
    <xf numFmtId="2" fontId="71" fillId="9" borderId="14" xfId="1" applyNumberFormat="1" applyFont="1" applyFill="1" applyBorder="1" applyAlignment="1" applyProtection="1">
      <alignment horizontal="right"/>
    </xf>
    <xf numFmtId="9" fontId="17" fillId="9" borderId="10" xfId="2" applyFont="1" applyFill="1" applyBorder="1" applyAlignment="1">
      <alignment horizontal="right"/>
    </xf>
    <xf numFmtId="1" fontId="71" fillId="9" borderId="21" xfId="2" applyNumberFormat="1" applyFont="1" applyFill="1" applyBorder="1" applyAlignment="1">
      <alignment horizontal="right"/>
    </xf>
    <xf numFmtId="0" fontId="27" fillId="9" borderId="10" xfId="0" applyFont="1" applyFill="1" applyBorder="1" applyProtection="1"/>
    <xf numFmtId="9" fontId="71" fillId="9" borderId="19" xfId="2" applyFont="1" applyFill="1" applyBorder="1" applyAlignment="1" applyProtection="1">
      <alignment horizontal="left"/>
    </xf>
    <xf numFmtId="2" fontId="20" fillId="9" borderId="21" xfId="0" applyNumberFormat="1" applyFont="1" applyFill="1" applyBorder="1" applyProtection="1"/>
    <xf numFmtId="1" fontId="71" fillId="9" borderId="0" xfId="2" applyNumberFormat="1" applyFont="1" applyFill="1" applyBorder="1" applyAlignment="1" applyProtection="1">
      <alignment horizontal="right" wrapText="1"/>
    </xf>
    <xf numFmtId="2" fontId="71" fillId="3" borderId="0" xfId="0" applyNumberFormat="1" applyFont="1" applyFill="1" applyBorder="1" applyAlignment="1" applyProtection="1">
      <alignment horizontal="right"/>
    </xf>
    <xf numFmtId="0" fontId="71" fillId="3" borderId="0" xfId="0" applyFont="1" applyFill="1" applyBorder="1" applyProtection="1"/>
    <xf numFmtId="165" fontId="72" fillId="3" borderId="17" xfId="1" applyNumberFormat="1" applyFont="1" applyFill="1" applyBorder="1" applyAlignment="1" applyProtection="1"/>
    <xf numFmtId="0" fontId="71" fillId="3" borderId="17" xfId="0" applyFont="1" applyFill="1" applyBorder="1" applyAlignment="1" applyProtection="1">
      <alignment horizontal="center"/>
    </xf>
    <xf numFmtId="1" fontId="71" fillId="3" borderId="0" xfId="2" applyNumberFormat="1" applyFont="1" applyFill="1" applyBorder="1" applyAlignment="1" applyProtection="1">
      <alignment horizontal="right"/>
    </xf>
    <xf numFmtId="165" fontId="72" fillId="3" borderId="17" xfId="1" applyNumberFormat="1" applyFont="1" applyFill="1" applyBorder="1" applyAlignment="1" applyProtection="1">
      <alignment horizontal="left"/>
    </xf>
    <xf numFmtId="9" fontId="71" fillId="3" borderId="21" xfId="0" applyNumberFormat="1" applyFont="1" applyFill="1" applyBorder="1" applyAlignment="1" applyProtection="1">
      <alignment horizontal="left"/>
    </xf>
    <xf numFmtId="165" fontId="72" fillId="3" borderId="18" xfId="1" applyNumberFormat="1" applyFont="1" applyFill="1" applyBorder="1" applyAlignment="1" applyProtection="1">
      <alignment horizontal="left"/>
    </xf>
    <xf numFmtId="2" fontId="71" fillId="3" borderId="14" xfId="1" applyNumberFormat="1" applyFont="1" applyFill="1" applyBorder="1" applyAlignment="1" applyProtection="1">
      <alignment horizontal="right"/>
    </xf>
    <xf numFmtId="2" fontId="71" fillId="3" borderId="0" xfId="1" applyNumberFormat="1" applyFont="1" applyFill="1" applyBorder="1" applyAlignment="1" applyProtection="1">
      <alignment horizontal="right"/>
    </xf>
    <xf numFmtId="9" fontId="71" fillId="3" borderId="0" xfId="2" applyFont="1" applyFill="1" applyBorder="1" applyAlignment="1" applyProtection="1">
      <alignment horizontal="left"/>
    </xf>
    <xf numFmtId="2" fontId="71" fillId="3" borderId="0" xfId="2" applyNumberFormat="1" applyFont="1" applyFill="1" applyBorder="1" applyAlignment="1" applyProtection="1">
      <alignment horizontal="right"/>
    </xf>
    <xf numFmtId="9" fontId="71" fillId="3" borderId="0" xfId="2" applyFont="1" applyFill="1" applyBorder="1" applyAlignment="1" applyProtection="1">
      <alignment horizontal="center"/>
    </xf>
    <xf numFmtId="2" fontId="71" fillId="3" borderId="21" xfId="2" applyNumberFormat="1" applyFont="1" applyFill="1" applyBorder="1" applyAlignment="1" applyProtection="1">
      <alignment horizontal="right"/>
    </xf>
    <xf numFmtId="9" fontId="71" fillId="3" borderId="21" xfId="2" applyFont="1" applyFill="1" applyBorder="1" applyAlignment="1" applyProtection="1">
      <alignment horizontal="center"/>
    </xf>
    <xf numFmtId="165" fontId="72" fillId="3" borderId="18" xfId="1" applyNumberFormat="1" applyFont="1" applyFill="1" applyBorder="1" applyAlignment="1" applyProtection="1"/>
    <xf numFmtId="0" fontId="0" fillId="4" borderId="20" xfId="0" applyFont="1" applyFill="1" applyBorder="1" applyAlignment="1" applyProtection="1">
      <alignment horizontal="left"/>
    </xf>
    <xf numFmtId="0" fontId="0" fillId="4" borderId="9" xfId="0" applyFont="1" applyFill="1" applyBorder="1" applyAlignment="1" applyProtection="1">
      <alignment horizontal="left"/>
    </xf>
    <xf numFmtId="0" fontId="17" fillId="4" borderId="9" xfId="0" applyFont="1" applyFill="1" applyBorder="1" applyAlignment="1" applyProtection="1">
      <alignment horizontal="right"/>
    </xf>
    <xf numFmtId="0" fontId="0" fillId="59" borderId="0" xfId="0" applyFont="1" applyFill="1" applyBorder="1" applyProtection="1"/>
    <xf numFmtId="0" fontId="50" fillId="27" borderId="0" xfId="0" applyFont="1" applyFill="1" applyBorder="1" applyProtection="1"/>
    <xf numFmtId="0" fontId="20" fillId="27" borderId="0" xfId="0" applyFont="1" applyFill="1" applyBorder="1" applyProtection="1"/>
    <xf numFmtId="0" fontId="20" fillId="59" borderId="0" xfId="0" applyFont="1" applyFill="1" applyBorder="1" applyProtection="1"/>
    <xf numFmtId="49" fontId="50" fillId="59" borderId="0" xfId="0" applyNumberFormat="1" applyFont="1" applyFill="1" applyBorder="1" applyAlignment="1" applyProtection="1">
      <alignment horizontal="left"/>
    </xf>
    <xf numFmtId="0" fontId="0" fillId="59" borderId="0" xfId="0" applyFont="1" applyFill="1" applyBorder="1"/>
    <xf numFmtId="0" fontId="15" fillId="59" borderId="0" xfId="0" applyFont="1" applyFill="1" applyBorder="1" applyProtection="1"/>
    <xf numFmtId="0" fontId="0" fillId="59" borderId="0" xfId="0" applyFont="1" applyFill="1" applyProtection="1"/>
    <xf numFmtId="0" fontId="15" fillId="4" borderId="11" xfId="0" applyFont="1" applyFill="1" applyBorder="1" applyProtection="1"/>
    <xf numFmtId="0" fontId="15" fillId="4" borderId="16" xfId="0" applyFont="1" applyFill="1" applyBorder="1" applyProtection="1"/>
    <xf numFmtId="0" fontId="17" fillId="59" borderId="0" xfId="0" applyFont="1" applyFill="1" applyBorder="1" applyAlignment="1" applyProtection="1"/>
    <xf numFmtId="0" fontId="0" fillId="59" borderId="0" xfId="0" applyFont="1" applyFill="1"/>
    <xf numFmtId="0" fontId="17" fillId="59" borderId="0" xfId="0" applyFont="1" applyFill="1" applyProtection="1"/>
    <xf numFmtId="0" fontId="11" fillId="59" borderId="0" xfId="0" applyFont="1" applyFill="1" applyProtection="1"/>
    <xf numFmtId="0" fontId="11" fillId="59" borderId="0" xfId="0" applyFont="1" applyFill="1"/>
    <xf numFmtId="0" fontId="21" fillId="59" borderId="0" xfId="0" applyFont="1" applyFill="1" applyProtection="1"/>
    <xf numFmtId="0" fontId="21" fillId="59" borderId="0" xfId="0" applyFont="1" applyFill="1" applyAlignment="1" applyProtection="1">
      <alignment horizontal="left"/>
    </xf>
    <xf numFmtId="0" fontId="21" fillId="59" borderId="0" xfId="0" applyFont="1" applyFill="1" applyAlignment="1" applyProtection="1">
      <alignment horizontal="right"/>
    </xf>
    <xf numFmtId="0" fontId="21" fillId="59" borderId="0" xfId="0" applyFont="1" applyFill="1" applyBorder="1" applyAlignment="1" applyProtection="1">
      <alignment horizontal="right"/>
    </xf>
    <xf numFmtId="0" fontId="0" fillId="59" borderId="0" xfId="0" applyFont="1" applyFill="1" applyBorder="1" applyAlignment="1" applyProtection="1"/>
    <xf numFmtId="0" fontId="0" fillId="59" borderId="0" xfId="0" applyFont="1" applyFill="1" applyBorder="1" applyAlignment="1"/>
    <xf numFmtId="0" fontId="21" fillId="59" borderId="0" xfId="0" applyFont="1" applyFill="1" applyBorder="1" applyAlignment="1" applyProtection="1"/>
    <xf numFmtId="0" fontId="0" fillId="59" borderId="0" xfId="0" applyFont="1" applyFill="1" applyAlignment="1" applyProtection="1">
      <alignment horizontal="right"/>
    </xf>
    <xf numFmtId="1" fontId="21" fillId="4" borderId="16" xfId="0" applyNumberFormat="1" applyFont="1" applyFill="1" applyBorder="1" applyAlignment="1" applyProtection="1">
      <alignment horizontal="center" wrapText="1"/>
    </xf>
    <xf numFmtId="49" fontId="15" fillId="4" borderId="11" xfId="0" applyNumberFormat="1" applyFont="1" applyFill="1" applyBorder="1" applyProtection="1"/>
    <xf numFmtId="49" fontId="15" fillId="4" borderId="9" xfId="0" applyNumberFormat="1" applyFont="1" applyFill="1" applyBorder="1" applyProtection="1"/>
    <xf numFmtId="0" fontId="15" fillId="4" borderId="17" xfId="0" applyFont="1" applyFill="1" applyBorder="1" applyProtection="1"/>
    <xf numFmtId="49" fontId="15" fillId="4" borderId="10" xfId="0" applyNumberFormat="1" applyFont="1" applyFill="1" applyBorder="1" applyProtection="1"/>
    <xf numFmtId="0" fontId="15" fillId="4" borderId="18" xfId="0" applyFont="1" applyFill="1" applyBorder="1" applyProtection="1"/>
    <xf numFmtId="0" fontId="20" fillId="4" borderId="16" xfId="0" applyFont="1" applyFill="1" applyBorder="1" applyProtection="1"/>
    <xf numFmtId="0" fontId="15" fillId="4" borderId="9" xfId="0" applyFont="1" applyFill="1" applyBorder="1" applyProtection="1"/>
    <xf numFmtId="0" fontId="20" fillId="4" borderId="17" xfId="0" applyFont="1" applyFill="1" applyBorder="1" applyProtection="1"/>
    <xf numFmtId="0" fontId="15" fillId="4" borderId="10" xfId="0" applyFont="1" applyFill="1" applyBorder="1" applyProtection="1"/>
    <xf numFmtId="49" fontId="15" fillId="59" borderId="10" xfId="0" applyNumberFormat="1" applyFont="1" applyFill="1" applyBorder="1" applyProtection="1"/>
    <xf numFmtId="0" fontId="15" fillId="59" borderId="18" xfId="0" applyFont="1" applyFill="1" applyBorder="1" applyProtection="1"/>
    <xf numFmtId="0" fontId="0" fillId="59" borderId="14" xfId="0" applyFont="1" applyFill="1" applyBorder="1" applyProtection="1"/>
    <xf numFmtId="0" fontId="0" fillId="59" borderId="14" xfId="0" applyFont="1" applyFill="1" applyBorder="1" applyAlignment="1" applyProtection="1">
      <alignment horizontal="right"/>
    </xf>
    <xf numFmtId="1" fontId="74" fillId="4" borderId="17" xfId="2" applyNumberFormat="1" applyFont="1" applyFill="1" applyBorder="1" applyAlignment="1" applyProtection="1"/>
    <xf numFmtId="2" fontId="74" fillId="4" borderId="17" xfId="2" applyNumberFormat="1" applyFont="1" applyFill="1" applyBorder="1" applyAlignment="1" applyProtection="1"/>
    <xf numFmtId="1" fontId="45" fillId="8" borderId="0" xfId="2" applyNumberFormat="1" applyFont="1" applyFill="1" applyBorder="1" applyAlignment="1" applyProtection="1">
      <alignment horizontal="right"/>
      <protection locked="0"/>
    </xf>
    <xf numFmtId="0" fontId="17" fillId="4" borderId="10" xfId="0" applyFont="1" applyFill="1" applyBorder="1" applyAlignment="1" applyProtection="1">
      <alignment horizontal="right" indent="1"/>
    </xf>
    <xf numFmtId="167" fontId="53" fillId="4" borderId="21" xfId="0" applyNumberFormat="1" applyFont="1" applyFill="1" applyBorder="1" applyProtection="1"/>
    <xf numFmtId="2" fontId="74" fillId="4" borderId="18" xfId="0" applyNumberFormat="1" applyFont="1" applyFill="1" applyBorder="1" applyProtection="1"/>
    <xf numFmtId="0" fontId="23" fillId="4" borderId="18" xfId="0" applyFont="1" applyFill="1" applyBorder="1" applyProtection="1"/>
    <xf numFmtId="171" fontId="74" fillId="4" borderId="17" xfId="2" applyNumberFormat="1" applyFont="1" applyFill="1" applyBorder="1" applyAlignment="1" applyProtection="1"/>
    <xf numFmtId="14" fontId="0" fillId="59" borderId="0" xfId="0" applyNumberFormat="1" applyFont="1" applyFill="1" applyAlignment="1" applyProtection="1">
      <alignment horizontal="left"/>
    </xf>
    <xf numFmtId="0" fontId="25" fillId="59" borderId="0" xfId="0" applyFont="1" applyFill="1" applyProtection="1"/>
    <xf numFmtId="0" fontId="25" fillId="59" borderId="0" xfId="0" applyFont="1" applyFill="1" applyBorder="1" applyProtection="1"/>
    <xf numFmtId="0" fontId="43" fillId="59" borderId="0" xfId="0" applyFont="1" applyFill="1" applyProtection="1"/>
    <xf numFmtId="0" fontId="10" fillId="59" borderId="0" xfId="0" applyFont="1" applyFill="1" applyProtection="1"/>
    <xf numFmtId="0" fontId="12" fillId="59" borderId="0" xfId="0" applyFont="1" applyFill="1" applyBorder="1" applyProtection="1"/>
    <xf numFmtId="0" fontId="11" fillId="59" borderId="0" xfId="0" applyFont="1" applyFill="1" applyBorder="1" applyProtection="1"/>
    <xf numFmtId="0" fontId="0" fillId="59" borderId="0" xfId="0" applyFont="1" applyFill="1" applyBorder="1" applyAlignment="1">
      <alignment vertical="center"/>
    </xf>
    <xf numFmtId="0" fontId="17" fillId="59" borderId="0" xfId="0" applyFont="1" applyFill="1" applyBorder="1" applyAlignment="1">
      <alignment wrapText="1"/>
    </xf>
    <xf numFmtId="0" fontId="17" fillId="59" borderId="0" xfId="0" applyFont="1" applyFill="1" applyBorder="1" applyAlignment="1">
      <alignment vertical="center"/>
    </xf>
    <xf numFmtId="0" fontId="43" fillId="59" borderId="0" xfId="0" applyFont="1" applyFill="1" applyBorder="1" applyAlignment="1">
      <alignment vertical="center"/>
    </xf>
    <xf numFmtId="0" fontId="15" fillId="59" borderId="0" xfId="0" applyFont="1" applyFill="1" applyBorder="1" applyAlignment="1">
      <alignment vertical="center"/>
    </xf>
    <xf numFmtId="0" fontId="11" fillId="59" borderId="0" xfId="0" applyFont="1" applyFill="1" applyBorder="1" applyAlignment="1">
      <alignment vertical="center"/>
    </xf>
    <xf numFmtId="0" fontId="73" fillId="59" borderId="0" xfId="0" applyFont="1" applyFill="1" applyBorder="1" applyAlignment="1">
      <alignment vertical="center"/>
    </xf>
    <xf numFmtId="9" fontId="0" fillId="59" borderId="0" xfId="2" applyFont="1" applyFill="1" applyProtection="1"/>
    <xf numFmtId="9" fontId="17" fillId="59" borderId="0" xfId="2" applyFont="1" applyFill="1" applyProtection="1"/>
    <xf numFmtId="0" fontId="11" fillId="59" borderId="0" xfId="0" applyFont="1" applyFill="1" applyBorder="1" applyAlignment="1"/>
    <xf numFmtId="0" fontId="0" fillId="59" borderId="0" xfId="0" applyFont="1" applyFill="1" applyBorder="1" applyAlignment="1" applyProtection="1">
      <alignment horizontal="right"/>
    </xf>
    <xf numFmtId="0" fontId="29" fillId="59" borderId="0" xfId="0" applyFont="1" applyFill="1" applyProtection="1"/>
    <xf numFmtId="0" fontId="28" fillId="59" borderId="0" xfId="0" applyFont="1" applyFill="1" applyProtection="1"/>
    <xf numFmtId="0" fontId="0" fillId="59" borderId="0" xfId="0" applyFont="1" applyFill="1" applyAlignment="1" applyProtection="1">
      <alignment horizontal="left"/>
    </xf>
    <xf numFmtId="0" fontId="0" fillId="59" borderId="0" xfId="0" applyFont="1" applyFill="1" applyAlignment="1" applyProtection="1">
      <alignment horizontal="left" wrapText="1"/>
    </xf>
    <xf numFmtId="0" fontId="21" fillId="59" borderId="0" xfId="0" applyFont="1" applyFill="1" applyBorder="1" applyProtection="1"/>
    <xf numFmtId="14" fontId="31" fillId="59" borderId="0" xfId="0" applyNumberFormat="1" applyFont="1" applyFill="1" applyAlignment="1" applyProtection="1">
      <alignment horizontal="left"/>
    </xf>
    <xf numFmtId="0" fontId="30" fillId="59" borderId="0" xfId="0" applyFont="1" applyFill="1" applyAlignment="1" applyProtection="1">
      <alignment horizontal="left"/>
    </xf>
    <xf numFmtId="0" fontId="0" fillId="59" borderId="6" xfId="0" applyFont="1" applyFill="1" applyBorder="1" applyProtection="1"/>
    <xf numFmtId="0" fontId="56" fillId="59" borderId="0" xfId="0" applyFont="1" applyFill="1" applyProtection="1"/>
    <xf numFmtId="0" fontId="44" fillId="59" borderId="0" xfId="0" applyFont="1" applyFill="1" applyBorder="1" applyProtection="1"/>
    <xf numFmtId="0" fontId="54" fillId="59" borderId="0" xfId="0" applyFont="1" applyFill="1"/>
    <xf numFmtId="0" fontId="44" fillId="59" borderId="0" xfId="0" applyFont="1" applyFill="1" applyProtection="1"/>
    <xf numFmtId="0" fontId="56" fillId="59" borderId="0" xfId="0" applyFont="1" applyFill="1" applyBorder="1" applyAlignment="1">
      <alignment vertical="center"/>
    </xf>
    <xf numFmtId="0" fontId="17" fillId="59" borderId="0" xfId="0" applyFont="1" applyFill="1" applyBorder="1" applyAlignment="1">
      <alignment horizontal="left" vertical="center"/>
    </xf>
    <xf numFmtId="0" fontId="17" fillId="59" borderId="0" xfId="0" applyFont="1" applyFill="1" applyAlignment="1" applyProtection="1">
      <alignment horizontal="right"/>
    </xf>
    <xf numFmtId="0" fontId="43" fillId="59" borderId="0" xfId="0" applyFont="1" applyFill="1" applyAlignment="1" applyProtection="1">
      <alignment horizontal="right"/>
    </xf>
    <xf numFmtId="0" fontId="17" fillId="59" borderId="0" xfId="0" applyFont="1" applyFill="1" applyBorder="1" applyProtection="1"/>
    <xf numFmtId="2" fontId="0" fillId="3" borderId="18" xfId="0" applyNumberFormat="1" applyFont="1" applyFill="1" applyBorder="1" applyProtection="1"/>
    <xf numFmtId="2" fontId="0" fillId="0" borderId="0" xfId="0" applyNumberFormat="1" applyFont="1" applyFill="1" applyProtection="1"/>
    <xf numFmtId="2" fontId="17" fillId="3" borderId="16" xfId="0" applyNumberFormat="1" applyFont="1" applyFill="1" applyBorder="1" applyProtection="1"/>
    <xf numFmtId="2" fontId="0" fillId="3" borderId="16" xfId="0" applyNumberFormat="1" applyFont="1" applyFill="1" applyBorder="1" applyProtection="1"/>
    <xf numFmtId="0" fontId="10" fillId="7" borderId="9" xfId="0" applyFont="1" applyFill="1" applyBorder="1" applyAlignment="1">
      <alignment horizontal="center" wrapText="1"/>
    </xf>
    <xf numFmtId="0" fontId="10" fillId="7" borderId="0" xfId="0" applyFont="1" applyFill="1" applyBorder="1" applyAlignment="1">
      <alignment horizontal="center" wrapText="1"/>
    </xf>
    <xf numFmtId="0" fontId="10" fillId="7" borderId="17" xfId="0" applyFont="1" applyFill="1" applyBorder="1" applyAlignment="1">
      <alignment horizontal="center" wrapText="1"/>
    </xf>
    <xf numFmtId="2" fontId="0" fillId="12" borderId="17" xfId="0" applyNumberFormat="1" applyFont="1" applyFill="1" applyBorder="1" applyAlignment="1" applyProtection="1">
      <alignment horizontal="right"/>
    </xf>
    <xf numFmtId="2" fontId="0" fillId="12" borderId="17" xfId="0" applyNumberFormat="1" applyFont="1" applyFill="1" applyBorder="1" applyAlignment="1" applyProtection="1"/>
    <xf numFmtId="2" fontId="72" fillId="59" borderId="0" xfId="0" applyNumberFormat="1" applyFont="1" applyFill="1" applyBorder="1" applyProtection="1"/>
    <xf numFmtId="2" fontId="71" fillId="59" borderId="0" xfId="0" applyNumberFormat="1" applyFont="1" applyFill="1" applyBorder="1" applyProtection="1"/>
    <xf numFmtId="2" fontId="71" fillId="9" borderId="12" xfId="2" applyNumberFormat="1" applyFont="1" applyFill="1" applyBorder="1" applyAlignment="1">
      <alignment horizontal="right"/>
    </xf>
    <xf numFmtId="9" fontId="71" fillId="9" borderId="16" xfId="2" applyFont="1" applyFill="1" applyBorder="1" applyAlignment="1" applyProtection="1">
      <alignment horizontal="left"/>
    </xf>
    <xf numFmtId="0" fontId="23" fillId="9" borderId="0" xfId="0" applyFont="1" applyFill="1" applyBorder="1" applyProtection="1"/>
    <xf numFmtId="0" fontId="25" fillId="59" borderId="0" xfId="0" applyFont="1" applyFill="1" applyAlignment="1" applyProtection="1">
      <alignment wrapText="1"/>
    </xf>
    <xf numFmtId="0" fontId="27" fillId="59" borderId="0" xfId="0" applyFont="1" applyFill="1" applyBorder="1" applyProtection="1"/>
    <xf numFmtId="0" fontId="17" fillId="59" borderId="0" xfId="0" applyFont="1" applyFill="1" applyBorder="1" applyAlignment="1" applyProtection="1">
      <alignment horizontal="right"/>
    </xf>
    <xf numFmtId="0" fontId="21" fillId="59" borderId="0" xfId="0" applyFont="1" applyFill="1" applyBorder="1" applyAlignment="1" applyProtection="1">
      <alignment horizontal="left"/>
    </xf>
    <xf numFmtId="9" fontId="21" fillId="59" borderId="0" xfId="2" applyFont="1" applyFill="1" applyBorder="1" applyAlignment="1" applyProtection="1">
      <alignment horizontal="right"/>
    </xf>
    <xf numFmtId="9" fontId="0" fillId="59" borderId="0" xfId="2" applyFont="1" applyFill="1" applyBorder="1" applyAlignment="1" applyProtection="1">
      <alignment horizontal="right" wrapText="1"/>
    </xf>
    <xf numFmtId="9" fontId="32" fillId="59" borderId="0" xfId="2" applyFont="1" applyFill="1" applyBorder="1" applyAlignment="1" applyProtection="1">
      <alignment horizontal="right"/>
      <protection locked="0"/>
    </xf>
    <xf numFmtId="0" fontId="17" fillId="59" borderId="0" xfId="0" applyFont="1" applyFill="1" applyBorder="1" applyAlignment="1" applyProtection="1">
      <alignment horizontal="center"/>
    </xf>
    <xf numFmtId="9" fontId="21" fillId="59" borderId="0" xfId="2" applyFont="1" applyFill="1" applyBorder="1" applyProtection="1"/>
    <xf numFmtId="165" fontId="20" fillId="59" borderId="0" xfId="1" applyNumberFormat="1" applyFont="1" applyFill="1" applyBorder="1" applyAlignment="1" applyProtection="1">
      <alignment horizontal="center"/>
    </xf>
    <xf numFmtId="2" fontId="17" fillId="59" borderId="0" xfId="2" applyNumberFormat="1" applyFont="1" applyFill="1" applyProtection="1"/>
    <xf numFmtId="0" fontId="55" fillId="59" borderId="0" xfId="0" applyFont="1" applyFill="1" applyProtection="1"/>
    <xf numFmtId="0" fontId="44" fillId="59" borderId="9" xfId="0" applyFont="1" applyFill="1" applyBorder="1" applyAlignment="1" applyProtection="1">
      <alignment wrapText="1"/>
    </xf>
    <xf numFmtId="0" fontId="17" fillId="59" borderId="9" xfId="0" applyFont="1" applyFill="1" applyBorder="1" applyAlignment="1" applyProtection="1">
      <alignment wrapText="1"/>
    </xf>
    <xf numFmtId="0" fontId="17" fillId="59" borderId="0" xfId="0" applyFont="1" applyFill="1" applyAlignment="1" applyProtection="1">
      <alignment horizontal="left" wrapText="1"/>
    </xf>
    <xf numFmtId="0" fontId="17" fillId="59" borderId="0" xfId="0" applyFont="1" applyFill="1" applyAlignment="1" applyProtection="1">
      <alignment horizontal="left"/>
    </xf>
    <xf numFmtId="9" fontId="73" fillId="59" borderId="0" xfId="2" applyFont="1" applyFill="1" applyBorder="1" applyAlignment="1" applyProtection="1">
      <alignment horizontal="left"/>
    </xf>
    <xf numFmtId="0" fontId="17" fillId="59" borderId="0" xfId="0" applyFont="1" applyFill="1" applyBorder="1" applyAlignment="1" applyProtection="1">
      <alignment horizontal="left"/>
    </xf>
    <xf numFmtId="1" fontId="0" fillId="59" borderId="0" xfId="0" applyNumberFormat="1" applyFont="1" applyFill="1" applyAlignment="1" applyProtection="1">
      <alignment horizontal="left"/>
    </xf>
    <xf numFmtId="0" fontId="0" fillId="59" borderId="0" xfId="0" applyFont="1" applyFill="1" applyBorder="1" applyAlignment="1" applyProtection="1">
      <alignment horizontal="left"/>
    </xf>
    <xf numFmtId="171" fontId="56" fillId="59" borderId="0" xfId="0" applyNumberFormat="1" applyFont="1" applyFill="1" applyBorder="1" applyAlignment="1" applyProtection="1">
      <alignment horizontal="left"/>
    </xf>
    <xf numFmtId="0" fontId="56" fillId="59" borderId="0" xfId="0" applyFont="1" applyFill="1" applyBorder="1" applyProtection="1"/>
    <xf numFmtId="0" fontId="56" fillId="59" borderId="0" xfId="0" applyFont="1" applyFill="1" applyBorder="1" applyAlignment="1" applyProtection="1">
      <alignment horizontal="left"/>
    </xf>
    <xf numFmtId="0" fontId="33" fillId="59" borderId="0" xfId="0" applyFont="1" applyFill="1" applyBorder="1" applyAlignment="1">
      <alignment horizontal="left" wrapText="1"/>
    </xf>
    <xf numFmtId="0" fontId="11" fillId="59" borderId="0" xfId="0" applyFont="1" applyFill="1" applyBorder="1" applyAlignment="1">
      <alignment horizontal="left" vertical="center" wrapText="1"/>
    </xf>
    <xf numFmtId="0" fontId="11" fillId="59" borderId="0" xfId="0" applyFont="1" applyFill="1" applyBorder="1" applyAlignment="1">
      <alignment horizontal="left" wrapText="1"/>
    </xf>
    <xf numFmtId="2" fontId="0" fillId="59" borderId="0" xfId="0" applyNumberFormat="1" applyFont="1" applyFill="1" applyBorder="1" applyProtection="1"/>
    <xf numFmtId="0" fontId="17" fillId="59" borderId="0" xfId="0" applyFont="1" applyFill="1" applyBorder="1"/>
    <xf numFmtId="0" fontId="25" fillId="59" borderId="0" xfId="0" applyFont="1" applyFill="1" applyBorder="1" applyAlignment="1" applyProtection="1">
      <alignment wrapText="1"/>
    </xf>
    <xf numFmtId="0" fontId="33" fillId="59" borderId="0" xfId="0" applyFont="1" applyFill="1" applyBorder="1" applyAlignment="1">
      <alignment vertical="center"/>
    </xf>
    <xf numFmtId="0" fontId="25" fillId="59" borderId="0" xfId="0" applyFont="1" applyFill="1" applyBorder="1" applyAlignment="1"/>
    <xf numFmtId="0" fontId="28" fillId="59" borderId="0" xfId="0" applyFont="1" applyFill="1" applyBorder="1" applyProtection="1"/>
    <xf numFmtId="9" fontId="21" fillId="59" borderId="0" xfId="2" applyFont="1" applyFill="1" applyProtection="1"/>
    <xf numFmtId="0" fontId="10" fillId="59" borderId="0" xfId="0" applyFont="1" applyFill="1" applyBorder="1" applyAlignment="1">
      <alignment horizontal="center"/>
    </xf>
    <xf numFmtId="0" fontId="25" fillId="59" borderId="0" xfId="0" applyFont="1" applyFill="1" applyAlignment="1">
      <alignment wrapText="1"/>
    </xf>
    <xf numFmtId="0" fontId="25" fillId="59" borderId="0" xfId="0" applyFont="1" applyFill="1"/>
    <xf numFmtId="0" fontId="25" fillId="59" borderId="0" xfId="0" applyFont="1" applyFill="1" applyBorder="1"/>
    <xf numFmtId="0" fontId="27" fillId="3" borderId="11" xfId="0" applyFont="1" applyFill="1" applyBorder="1" applyProtection="1"/>
    <xf numFmtId="9" fontId="0" fillId="3" borderId="12" xfId="2" applyFont="1" applyFill="1" applyBorder="1" applyAlignment="1" applyProtection="1">
      <alignment horizontal="right"/>
    </xf>
    <xf numFmtId="9" fontId="71" fillId="3" borderId="12" xfId="2" applyFont="1" applyFill="1" applyBorder="1" applyAlignment="1" applyProtection="1">
      <alignment horizontal="right"/>
    </xf>
    <xf numFmtId="165" fontId="45" fillId="11" borderId="21" xfId="1" applyNumberFormat="1" applyFont="1" applyFill="1" applyBorder="1" applyAlignment="1" applyProtection="1">
      <alignment horizontal="right"/>
      <protection locked="0"/>
    </xf>
    <xf numFmtId="9" fontId="72" fillId="3" borderId="21" xfId="2" applyFont="1" applyFill="1" applyBorder="1" applyAlignment="1" applyProtection="1">
      <alignment horizontal="center"/>
    </xf>
    <xf numFmtId="2" fontId="71" fillId="3" borderId="12" xfId="2" applyNumberFormat="1" applyFont="1" applyFill="1" applyBorder="1" applyAlignment="1" applyProtection="1">
      <alignment horizontal="right"/>
    </xf>
    <xf numFmtId="43" fontId="71" fillId="3" borderId="16" xfId="1" applyNumberFormat="1" applyFont="1" applyFill="1" applyBorder="1" applyAlignment="1" applyProtection="1"/>
    <xf numFmtId="1" fontId="75" fillId="4" borderId="21" xfId="1" applyNumberFormat="1" applyFont="1" applyFill="1" applyBorder="1" applyAlignment="1" applyProtection="1"/>
    <xf numFmtId="0" fontId="0" fillId="12" borderId="0" xfId="0" applyFill="1" applyBorder="1"/>
    <xf numFmtId="9" fontId="0" fillId="12" borderId="0" xfId="2" applyNumberFormat="1" applyFont="1" applyFill="1" applyBorder="1"/>
    <xf numFmtId="168" fontId="0" fillId="12" borderId="17" xfId="1" applyNumberFormat="1" applyFont="1" applyFill="1" applyBorder="1"/>
    <xf numFmtId="0" fontId="0" fillId="12" borderId="21" xfId="0" applyFill="1" applyBorder="1"/>
    <xf numFmtId="9" fontId="0" fillId="12" borderId="21" xfId="2" applyNumberFormat="1" applyFont="1" applyFill="1" applyBorder="1"/>
    <xf numFmtId="168" fontId="0" fillId="12" borderId="18" xfId="1" applyNumberFormat="1" applyFont="1" applyFill="1" applyBorder="1"/>
    <xf numFmtId="0" fontId="17" fillId="12" borderId="9" xfId="0" applyFont="1" applyFill="1" applyBorder="1" applyProtection="1"/>
    <xf numFmtId="0" fontId="17" fillId="12" borderId="17" xfId="0" applyFont="1" applyFill="1" applyBorder="1" applyAlignment="1" applyProtection="1">
      <alignment horizontal="center" wrapText="1"/>
    </xf>
    <xf numFmtId="0" fontId="17" fillId="12" borderId="9" xfId="0" applyFont="1" applyFill="1" applyBorder="1" applyAlignment="1" applyProtection="1">
      <alignment horizontal="center"/>
    </xf>
    <xf numFmtId="9" fontId="17" fillId="12" borderId="17" xfId="2" applyFont="1" applyFill="1" applyBorder="1" applyProtection="1"/>
    <xf numFmtId="0" fontId="17" fillId="12" borderId="10" xfId="0" applyFont="1" applyFill="1" applyBorder="1" applyAlignment="1" applyProtection="1">
      <alignment horizontal="center"/>
    </xf>
    <xf numFmtId="9" fontId="17" fillId="12" borderId="18" xfId="2" applyFont="1" applyFill="1" applyBorder="1" applyProtection="1"/>
    <xf numFmtId="2" fontId="76" fillId="3" borderId="12" xfId="1" applyNumberFormat="1" applyFont="1" applyFill="1" applyBorder="1" applyProtection="1"/>
    <xf numFmtId="164" fontId="0" fillId="14" borderId="23" xfId="1" applyNumberFormat="1" applyFont="1" applyFill="1" applyBorder="1"/>
    <xf numFmtId="0" fontId="0" fillId="17" borderId="0" xfId="0" applyFill="1" applyAlignment="1">
      <alignment horizontal="center"/>
    </xf>
    <xf numFmtId="43" fontId="9" fillId="15" borderId="20" xfId="1" applyFont="1" applyFill="1" applyBorder="1" applyAlignment="1">
      <alignment horizontal="center"/>
    </xf>
    <xf numFmtId="43" fontId="9" fillId="15" borderId="0" xfId="1" applyFont="1" applyFill="1" applyBorder="1" applyAlignment="1">
      <alignment horizontal="center"/>
    </xf>
    <xf numFmtId="164" fontId="9" fillId="15" borderId="14" xfId="1" applyNumberFormat="1" applyFont="1" applyFill="1" applyBorder="1" applyAlignment="1">
      <alignment horizontal="center"/>
    </xf>
    <xf numFmtId="43" fontId="9" fillId="15" borderId="9" xfId="1" applyFont="1" applyFill="1" applyBorder="1" applyAlignment="1">
      <alignment horizontal="center"/>
    </xf>
    <xf numFmtId="164" fontId="9" fillId="15" borderId="0" xfId="1" applyNumberFormat="1" applyFont="1" applyFill="1" applyBorder="1" applyAlignment="1">
      <alignment horizontal="center"/>
    </xf>
    <xf numFmtId="43" fontId="9" fillId="15" borderId="10" xfId="1" applyFont="1" applyFill="1" applyBorder="1" applyAlignment="1">
      <alignment horizontal="center"/>
    </xf>
    <xf numFmtId="43" fontId="9" fillId="15" borderId="21" xfId="1" applyFont="1" applyFill="1" applyBorder="1" applyAlignment="1">
      <alignment horizontal="center"/>
    </xf>
    <xf numFmtId="164" fontId="9" fillId="15" borderId="21" xfId="1" applyNumberFormat="1" applyFont="1" applyFill="1" applyBorder="1" applyAlignment="1">
      <alignment horizontal="center"/>
    </xf>
    <xf numFmtId="0" fontId="4" fillId="15" borderId="10" xfId="0" applyFont="1" applyFill="1" applyBorder="1" applyAlignment="1">
      <alignment horizontal="center"/>
    </xf>
    <xf numFmtId="0" fontId="4" fillId="15" borderId="21" xfId="0" applyFont="1" applyFill="1" applyBorder="1" applyAlignment="1">
      <alignment horizontal="center"/>
    </xf>
    <xf numFmtId="43" fontId="4" fillId="15" borderId="21" xfId="0" applyNumberFormat="1" applyFont="1" applyFill="1" applyBorder="1" applyAlignment="1">
      <alignment horizontal="center"/>
    </xf>
    <xf numFmtId="43" fontId="0" fillId="0" borderId="0" xfId="0" applyNumberFormat="1" applyAlignment="1">
      <alignment horizontal="center"/>
    </xf>
    <xf numFmtId="0" fontId="77" fillId="59" borderId="0" xfId="0" applyFont="1" applyFill="1" applyBorder="1" applyProtection="1"/>
    <xf numFmtId="0" fontId="17" fillId="59" borderId="9" xfId="0" applyFont="1" applyFill="1" applyBorder="1" applyProtection="1"/>
    <xf numFmtId="0" fontId="55" fillId="59" borderId="0" xfId="0" applyFont="1" applyFill="1"/>
    <xf numFmtId="165" fontId="0" fillId="10" borderId="0" xfId="1" applyNumberFormat="1" applyFont="1" applyFill="1" applyBorder="1"/>
    <xf numFmtId="165" fontId="0" fillId="15" borderId="0" xfId="1" applyNumberFormat="1" applyFont="1" applyFill="1" applyBorder="1"/>
    <xf numFmtId="1" fontId="19" fillId="16" borderId="0" xfId="1" applyNumberFormat="1" applyFont="1" applyFill="1" applyBorder="1"/>
    <xf numFmtId="1" fontId="20" fillId="16" borderId="0" xfId="0" applyNumberFormat="1" applyFont="1" applyFill="1" applyBorder="1"/>
    <xf numFmtId="165" fontId="38" fillId="18" borderId="21" xfId="1" applyNumberFormat="1" applyFont="1" applyFill="1" applyBorder="1"/>
    <xf numFmtId="1" fontId="38" fillId="21" borderId="21" xfId="0" applyNumberFormat="1" applyFont="1" applyFill="1" applyBorder="1"/>
    <xf numFmtId="0" fontId="78" fillId="59" borderId="0" xfId="0" applyFont="1" applyFill="1" applyProtection="1"/>
    <xf numFmtId="0" fontId="78" fillId="59" borderId="0" xfId="0" applyFont="1" applyFill="1"/>
    <xf numFmtId="0" fontId="15" fillId="3" borderId="9" xfId="0" applyFont="1" applyFill="1" applyBorder="1" applyAlignment="1" applyProtection="1">
      <alignment horizontal="right"/>
    </xf>
    <xf numFmtId="0" fontId="15" fillId="4" borderId="20" xfId="0" applyFont="1" applyFill="1" applyBorder="1" applyProtection="1"/>
    <xf numFmtId="0" fontId="15" fillId="4" borderId="19" xfId="0" applyFont="1" applyFill="1" applyBorder="1" applyProtection="1"/>
    <xf numFmtId="0" fontId="17" fillId="4" borderId="11" xfId="0" applyFont="1" applyFill="1" applyBorder="1" applyProtection="1"/>
    <xf numFmtId="1" fontId="17" fillId="4" borderId="16" xfId="0" applyNumberFormat="1" applyFont="1" applyFill="1" applyBorder="1" applyAlignment="1" applyProtection="1">
      <alignment horizontal="right"/>
    </xf>
    <xf numFmtId="1" fontId="0" fillId="4" borderId="16" xfId="0" applyNumberFormat="1" applyFont="1" applyFill="1" applyBorder="1" applyAlignment="1" applyProtection="1">
      <alignment horizontal="right"/>
    </xf>
    <xf numFmtId="0" fontId="25" fillId="4" borderId="16" xfId="0" applyFont="1" applyFill="1" applyBorder="1" applyAlignment="1" applyProtection="1">
      <alignment horizontal="right"/>
    </xf>
    <xf numFmtId="0" fontId="44" fillId="59" borderId="0" xfId="0" applyFont="1" applyFill="1" applyBorder="1" applyAlignment="1" applyProtection="1">
      <alignment wrapText="1"/>
    </xf>
    <xf numFmtId="0" fontId="17" fillId="59" borderId="0" xfId="0" applyFont="1" applyFill="1" applyBorder="1" applyAlignment="1" applyProtection="1">
      <alignment wrapText="1"/>
    </xf>
    <xf numFmtId="0" fontId="0" fillId="0" borderId="0" xfId="0" applyAlignment="1">
      <alignment horizontal="left" wrapText="1"/>
    </xf>
    <xf numFmtId="9" fontId="71" fillId="3" borderId="14" xfId="2" applyFont="1" applyFill="1" applyBorder="1" applyAlignment="1" applyProtection="1">
      <alignment horizontal="right"/>
    </xf>
    <xf numFmtId="9" fontId="71" fillId="3" borderId="19" xfId="2" applyFont="1" applyFill="1" applyBorder="1" applyAlignment="1" applyProtection="1">
      <alignment horizontal="right"/>
    </xf>
    <xf numFmtId="0" fontId="10" fillId="7" borderId="11" xfId="0" applyFont="1" applyFill="1" applyBorder="1" applyAlignment="1">
      <alignment horizontal="center"/>
    </xf>
    <xf numFmtId="0" fontId="10" fillId="7" borderId="16" xfId="0" applyFont="1" applyFill="1" applyBorder="1" applyAlignment="1">
      <alignment horizontal="center"/>
    </xf>
    <xf numFmtId="0" fontId="39" fillId="19" borderId="11" xfId="0" applyFont="1" applyFill="1" applyBorder="1" applyAlignment="1">
      <alignment horizontal="center"/>
    </xf>
    <xf numFmtId="0" fontId="39" fillId="19" borderId="12" xfId="0" applyFont="1" applyFill="1" applyBorder="1" applyAlignment="1">
      <alignment horizontal="center"/>
    </xf>
    <xf numFmtId="0" fontId="39" fillId="19" borderId="16" xfId="0" applyFont="1" applyFill="1" applyBorder="1" applyAlignment="1">
      <alignment horizontal="center"/>
    </xf>
    <xf numFmtId="0" fontId="51" fillId="26" borderId="11" xfId="0" applyFont="1" applyFill="1" applyBorder="1" applyAlignment="1">
      <alignment horizontal="center"/>
    </xf>
    <xf numFmtId="0" fontId="51" fillId="26" borderId="12" xfId="0" applyFont="1" applyFill="1" applyBorder="1" applyAlignment="1">
      <alignment horizontal="center"/>
    </xf>
    <xf numFmtId="0" fontId="51" fillId="26" borderId="16" xfId="0" applyFont="1" applyFill="1" applyBorder="1" applyAlignment="1">
      <alignment horizontal="center"/>
    </xf>
    <xf numFmtId="0" fontId="39" fillId="18" borderId="24" xfId="0" applyFont="1" applyFill="1" applyBorder="1" applyAlignment="1">
      <alignment horizontal="center"/>
    </xf>
    <xf numFmtId="0" fontId="39" fillId="18" borderId="27" xfId="0" applyFont="1" applyFill="1" applyBorder="1" applyAlignment="1">
      <alignment horizontal="center"/>
    </xf>
    <xf numFmtId="164" fontId="0" fillId="0" borderId="20" xfId="1" applyNumberFormat="1" applyFont="1" applyBorder="1" applyAlignment="1">
      <alignment horizontal="center"/>
    </xf>
    <xf numFmtId="164" fontId="0" fillId="0" borderId="19" xfId="1" applyNumberFormat="1" applyFont="1" applyBorder="1" applyAlignment="1">
      <alignment horizontal="center"/>
    </xf>
    <xf numFmtId="0" fontId="0" fillId="0" borderId="14" xfId="0" applyBorder="1" applyAlignment="1">
      <alignment horizontal="center"/>
    </xf>
    <xf numFmtId="0" fontId="0" fillId="0" borderId="19" xfId="0" applyBorder="1" applyAlignment="1">
      <alignment horizontal="center"/>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omma 2" xfId="3" xr:uid="{00000000-0005-0000-0000-00001C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te" xfId="19" builtinId="10" customBuiltin="1"/>
    <cellStyle name="Output" xfId="14" builtinId="21" customBuiltin="1"/>
    <cellStyle name="Percent" xfId="2" builtinId="5"/>
    <cellStyle name="Percent 2" xfId="4" xr:uid="{00000000-0005-0000-0000-00002A000000}"/>
    <cellStyle name="Title" xfId="5" builtinId="15" customBuiltin="1"/>
    <cellStyle name="Total" xfId="21" builtinId="25" customBuiltin="1"/>
    <cellStyle name="Warning Text" xfId="18" builtinId="11" customBuiltin="1"/>
  </cellStyles>
  <dxfs count="22">
    <dxf>
      <font>
        <b/>
        <i val="0"/>
      </font>
      <fill>
        <patternFill>
          <bgColor rgb="FFFF0000"/>
        </patternFill>
      </fill>
    </dxf>
    <dxf>
      <font>
        <b/>
        <i val="0"/>
      </font>
      <fill>
        <patternFill>
          <bgColor rgb="FFFF0000"/>
        </patternFill>
      </fill>
    </dxf>
    <dxf>
      <font>
        <b/>
        <i val="0"/>
      </font>
      <fill>
        <patternFill>
          <bgColor rgb="FFFF0000"/>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499984740745262"/>
      </font>
    </dxf>
    <dxf>
      <fill>
        <patternFill>
          <bgColor theme="3" tint="0.79998168889431442"/>
        </patternFill>
      </fill>
    </dxf>
    <dxf>
      <font>
        <color theme="0" tint="-0.24994659260841701"/>
      </font>
      <fill>
        <patternFill>
          <bgColor theme="6" tint="0.59996337778862885"/>
        </patternFill>
      </fill>
    </dxf>
    <dxf>
      <font>
        <color theme="0" tint="-0.24994659260841701"/>
      </font>
      <fill>
        <patternFill>
          <bgColor theme="6" tint="0.59996337778862885"/>
        </patternFill>
      </fill>
    </dxf>
    <dxf>
      <font>
        <color theme="0" tint="-0.24994659260841701"/>
      </font>
      <fill>
        <patternFill>
          <bgColor theme="6" tint="0.59996337778862885"/>
        </patternFill>
      </fill>
    </dxf>
    <dxf>
      <font>
        <color theme="0" tint="-0.24994659260841701"/>
      </font>
      <fill>
        <patternFill>
          <bgColor theme="6" tint="0.59996337778862885"/>
        </patternFill>
      </fill>
    </dxf>
    <dxf>
      <font>
        <b val="0"/>
        <i val="0"/>
        <color theme="0" tint="-0.24994659260841701"/>
      </font>
      <fill>
        <patternFill>
          <bgColor theme="6" tint="0.59996337778862885"/>
        </patternFill>
      </fill>
    </dxf>
    <dxf>
      <font>
        <color theme="0" tint="-0.34998626667073579"/>
      </font>
      <fill>
        <patternFill>
          <bgColor theme="2" tint="-0.24994659260841701"/>
        </patternFill>
      </fill>
    </dxf>
    <dxf>
      <font>
        <color theme="0" tint="-0.34998626667073579"/>
      </font>
      <fill>
        <patternFill>
          <bgColor theme="2" tint="-0.24994659260841701"/>
        </patternFill>
      </fill>
    </dxf>
    <dxf>
      <font>
        <color theme="0" tint="-0.34998626667073579"/>
      </font>
      <fill>
        <patternFill>
          <bgColor theme="2" tint="-0.24994659260841701"/>
        </patternFill>
      </fill>
    </dxf>
  </dxfs>
  <tableStyles count="0" defaultTableStyle="TableStyleMedium9" defaultPivotStyle="PivotStyleLight16"/>
  <colors>
    <mruColors>
      <color rgb="FFFF00FF"/>
      <color rgb="FFFFFF99"/>
      <color rgb="FFC5C5C5"/>
      <color rgb="FFE5F1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451421</xdr:colOff>
      <xdr:row>21</xdr:row>
      <xdr:rowOff>170668</xdr:rowOff>
    </xdr:from>
    <xdr:to>
      <xdr:col>9</xdr:col>
      <xdr:colOff>538156</xdr:colOff>
      <xdr:row>27</xdr:row>
      <xdr:rowOff>48726</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H="1">
          <a:off x="4718621" y="4171168"/>
          <a:ext cx="1305935" cy="102105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65726</xdr:colOff>
      <xdr:row>20</xdr:row>
      <xdr:rowOff>12194</xdr:rowOff>
    </xdr:from>
    <xdr:to>
      <xdr:col>18</xdr:col>
      <xdr:colOff>184417</xdr:colOff>
      <xdr:row>25</xdr:row>
      <xdr:rowOff>53003</xdr:rowOff>
    </xdr:to>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a:xfrm>
          <a:off x="9819326" y="3822194"/>
          <a:ext cx="1337891" cy="99330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584200</xdr:colOff>
      <xdr:row>4</xdr:row>
      <xdr:rowOff>38100</xdr:rowOff>
    </xdr:from>
    <xdr:to>
      <xdr:col>20</xdr:col>
      <xdr:colOff>84343</xdr:colOff>
      <xdr:row>34</xdr:row>
      <xdr:rowOff>86640</xdr:rowOff>
    </xdr:to>
    <xdr:grpSp>
      <xdr:nvGrpSpPr>
        <xdr:cNvPr id="57" name="Group 56">
          <a:extLst>
            <a:ext uri="{FF2B5EF4-FFF2-40B4-BE49-F238E27FC236}">
              <a16:creationId xmlns:a16="http://schemas.microsoft.com/office/drawing/2014/main" id="{00000000-0008-0000-0100-000039000000}"/>
            </a:ext>
          </a:extLst>
        </xdr:cNvPr>
        <xdr:cNvGrpSpPr/>
      </xdr:nvGrpSpPr>
      <xdr:grpSpPr>
        <a:xfrm>
          <a:off x="3632200" y="769620"/>
          <a:ext cx="8644143" cy="5534940"/>
          <a:chOff x="197498" y="762001"/>
          <a:chExt cx="8644143" cy="5763540"/>
        </a:xfrm>
        <a:solidFill>
          <a:schemeClr val="bg2">
            <a:lumMod val="75000"/>
          </a:schemeClr>
        </a:solidFill>
      </xdr:grpSpPr>
      <xdr:sp macro="" textlink="">
        <xdr:nvSpPr>
          <xdr:cNvPr id="62" name="Flowchart: Decision 61">
            <a:extLst>
              <a:ext uri="{FF2B5EF4-FFF2-40B4-BE49-F238E27FC236}">
                <a16:creationId xmlns:a16="http://schemas.microsoft.com/office/drawing/2014/main" id="{00000000-0008-0000-0100-00003E000000}"/>
              </a:ext>
            </a:extLst>
          </xdr:cNvPr>
          <xdr:cNvSpPr/>
        </xdr:nvSpPr>
        <xdr:spPr bwMode="auto">
          <a:xfrm>
            <a:off x="6096000" y="1377654"/>
            <a:ext cx="1703784" cy="603546"/>
          </a:xfrm>
          <a:prstGeom prst="flowChartDecision">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Debit</a:t>
            </a:r>
          </a:p>
        </xdr:txBody>
      </xdr:sp>
      <xdr:grpSp>
        <xdr:nvGrpSpPr>
          <xdr:cNvPr id="67" name="Group 66">
            <a:extLst>
              <a:ext uri="{FF2B5EF4-FFF2-40B4-BE49-F238E27FC236}">
                <a16:creationId xmlns:a16="http://schemas.microsoft.com/office/drawing/2014/main" id="{00000000-0008-0000-0100-000043000000}"/>
              </a:ext>
            </a:extLst>
          </xdr:cNvPr>
          <xdr:cNvGrpSpPr/>
        </xdr:nvGrpSpPr>
        <xdr:grpSpPr>
          <a:xfrm>
            <a:off x="197498" y="762001"/>
            <a:ext cx="8644143" cy="5763540"/>
            <a:chOff x="197498" y="762001"/>
            <a:chExt cx="8644143" cy="5763540"/>
          </a:xfrm>
          <a:grpFill/>
        </xdr:grpSpPr>
        <xdr:sp macro="" textlink="">
          <xdr:nvSpPr>
            <xdr:cNvPr id="68" name="Flowchart: Decision 67">
              <a:extLst>
                <a:ext uri="{FF2B5EF4-FFF2-40B4-BE49-F238E27FC236}">
                  <a16:creationId xmlns:a16="http://schemas.microsoft.com/office/drawing/2014/main" id="{00000000-0008-0000-0100-000044000000}"/>
                </a:ext>
              </a:extLst>
            </xdr:cNvPr>
            <xdr:cNvSpPr/>
          </xdr:nvSpPr>
          <xdr:spPr bwMode="auto">
            <a:xfrm>
              <a:off x="1167101" y="1456637"/>
              <a:ext cx="1762038" cy="705766"/>
            </a:xfrm>
            <a:prstGeom prst="flowChartDecision">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Credit</a:t>
              </a:r>
            </a:p>
          </xdr:txBody>
        </xdr:sp>
        <xdr:sp macro="" textlink="">
          <xdr:nvSpPr>
            <xdr:cNvPr id="69" name="Rounded Rectangle 68">
              <a:extLst>
                <a:ext uri="{FF2B5EF4-FFF2-40B4-BE49-F238E27FC236}">
                  <a16:creationId xmlns:a16="http://schemas.microsoft.com/office/drawing/2014/main" id="{00000000-0008-0000-0100-000045000000}"/>
                </a:ext>
              </a:extLst>
            </xdr:cNvPr>
            <xdr:cNvSpPr/>
          </xdr:nvSpPr>
          <xdr:spPr bwMode="auto">
            <a:xfrm>
              <a:off x="7691384" y="3468531"/>
              <a:ext cx="1150257" cy="56316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Lost reproduction</a:t>
              </a:r>
            </a:p>
          </xdr:txBody>
        </xdr:sp>
        <xdr:sp macro="" textlink="">
          <xdr:nvSpPr>
            <xdr:cNvPr id="70" name="Rectangle 69">
              <a:extLst>
                <a:ext uri="{FF2B5EF4-FFF2-40B4-BE49-F238E27FC236}">
                  <a16:creationId xmlns:a16="http://schemas.microsoft.com/office/drawing/2014/main" id="{00000000-0008-0000-0100-000046000000}"/>
                </a:ext>
              </a:extLst>
            </xdr:cNvPr>
            <xdr:cNvSpPr/>
          </xdr:nvSpPr>
          <xdr:spPr bwMode="auto">
            <a:xfrm>
              <a:off x="3948007" y="762001"/>
              <a:ext cx="1330925" cy="419100"/>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sz="2000">
                  <a:solidFill>
                    <a:sysClr val="windowText" lastClr="000000"/>
                  </a:solidFill>
                </a:rPr>
                <a:t>Credit Due</a:t>
              </a:r>
            </a:p>
          </xdr:txBody>
        </xdr:sp>
        <xdr:sp macro="" textlink="">
          <xdr:nvSpPr>
            <xdr:cNvPr id="71" name="Rounded Rectangle 70">
              <a:extLst>
                <a:ext uri="{FF2B5EF4-FFF2-40B4-BE49-F238E27FC236}">
                  <a16:creationId xmlns:a16="http://schemas.microsoft.com/office/drawing/2014/main" id="{00000000-0008-0000-0100-000047000000}"/>
                </a:ext>
              </a:extLst>
            </xdr:cNvPr>
            <xdr:cNvSpPr/>
          </xdr:nvSpPr>
          <xdr:spPr bwMode="auto">
            <a:xfrm>
              <a:off x="1320901" y="5541477"/>
              <a:ext cx="1232312" cy="896588"/>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expected females from Summer Protection Model</a:t>
              </a:r>
            </a:p>
          </xdr:txBody>
        </xdr:sp>
        <xdr:sp macro="" textlink="">
          <xdr:nvSpPr>
            <xdr:cNvPr id="72" name="Rounded Rectangle 71">
              <a:extLst>
                <a:ext uri="{FF2B5EF4-FFF2-40B4-BE49-F238E27FC236}">
                  <a16:creationId xmlns:a16="http://schemas.microsoft.com/office/drawing/2014/main" id="{00000000-0008-0000-0100-000048000000}"/>
                </a:ext>
              </a:extLst>
            </xdr:cNvPr>
            <xdr:cNvSpPr/>
          </xdr:nvSpPr>
          <xdr:spPr bwMode="auto">
            <a:xfrm>
              <a:off x="5278932" y="3483462"/>
              <a:ext cx="1102517" cy="56316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females directly taken</a:t>
              </a:r>
            </a:p>
          </xdr:txBody>
        </xdr:sp>
        <xdr:sp macro="" textlink="">
          <xdr:nvSpPr>
            <xdr:cNvPr id="73" name="Rounded Rectangle 72">
              <a:extLst>
                <a:ext uri="{FF2B5EF4-FFF2-40B4-BE49-F238E27FC236}">
                  <a16:creationId xmlns:a16="http://schemas.microsoft.com/office/drawing/2014/main" id="{00000000-0008-0000-0100-000049000000}"/>
                </a:ext>
              </a:extLst>
            </xdr:cNvPr>
            <xdr:cNvSpPr/>
          </xdr:nvSpPr>
          <xdr:spPr bwMode="auto">
            <a:xfrm>
              <a:off x="1496862" y="2505135"/>
              <a:ext cx="1102517" cy="683566"/>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females gained</a:t>
              </a:r>
            </a:p>
          </xdr:txBody>
        </xdr:sp>
        <xdr:sp macro="" textlink="">
          <xdr:nvSpPr>
            <xdr:cNvPr id="74" name="Rounded Rectangle 73">
              <a:extLst>
                <a:ext uri="{FF2B5EF4-FFF2-40B4-BE49-F238E27FC236}">
                  <a16:creationId xmlns:a16="http://schemas.microsoft.com/office/drawing/2014/main" id="{00000000-0008-0000-0100-00004A000000}"/>
                </a:ext>
              </a:extLst>
            </xdr:cNvPr>
            <xdr:cNvSpPr/>
          </xdr:nvSpPr>
          <xdr:spPr bwMode="auto">
            <a:xfrm>
              <a:off x="3747005" y="5554177"/>
              <a:ext cx="1232312" cy="879936"/>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expected females from Summer Restoration Model</a:t>
              </a:r>
            </a:p>
          </xdr:txBody>
        </xdr:sp>
        <xdr:sp macro="" textlink="">
          <xdr:nvSpPr>
            <xdr:cNvPr id="75" name="Rounded Rectangle 74">
              <a:extLst>
                <a:ext uri="{FF2B5EF4-FFF2-40B4-BE49-F238E27FC236}">
                  <a16:creationId xmlns:a16="http://schemas.microsoft.com/office/drawing/2014/main" id="{00000000-0008-0000-0100-00004B000000}"/>
                </a:ext>
              </a:extLst>
            </xdr:cNvPr>
            <xdr:cNvSpPr/>
          </xdr:nvSpPr>
          <xdr:spPr bwMode="auto">
            <a:xfrm>
              <a:off x="2605001" y="5487668"/>
              <a:ext cx="1102517" cy="1037873"/>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expected females from Winter Protection Model</a:t>
              </a:r>
            </a:p>
          </xdr:txBody>
        </xdr:sp>
        <xdr:sp macro="" textlink="">
          <xdr:nvSpPr>
            <xdr:cNvPr id="76" name="Rounded Rectangle 75">
              <a:extLst>
                <a:ext uri="{FF2B5EF4-FFF2-40B4-BE49-F238E27FC236}">
                  <a16:creationId xmlns:a16="http://schemas.microsoft.com/office/drawing/2014/main" id="{00000000-0008-0000-0100-00004C000000}"/>
                </a:ext>
              </a:extLst>
            </xdr:cNvPr>
            <xdr:cNvSpPr/>
          </xdr:nvSpPr>
          <xdr:spPr bwMode="auto">
            <a:xfrm>
              <a:off x="227261" y="3721572"/>
              <a:ext cx="1042840" cy="581692"/>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Gained reproduction</a:t>
              </a:r>
            </a:p>
          </xdr:txBody>
        </xdr:sp>
        <xdr:sp macro="" textlink="">
          <xdr:nvSpPr>
            <xdr:cNvPr id="77" name="Rounded Rectangle 76">
              <a:extLst>
                <a:ext uri="{FF2B5EF4-FFF2-40B4-BE49-F238E27FC236}">
                  <a16:creationId xmlns:a16="http://schemas.microsoft.com/office/drawing/2014/main" id="{00000000-0008-0000-0100-00004D000000}"/>
                </a:ext>
              </a:extLst>
            </xdr:cNvPr>
            <xdr:cNvSpPr/>
          </xdr:nvSpPr>
          <xdr:spPr bwMode="auto">
            <a:xfrm>
              <a:off x="5308770" y="4592975"/>
              <a:ext cx="1042840" cy="57915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External take model</a:t>
              </a:r>
            </a:p>
          </xdr:txBody>
        </xdr:sp>
        <xdr:cxnSp macro="">
          <xdr:nvCxnSpPr>
            <xdr:cNvPr id="78" name="Curved Connector 77">
              <a:extLst>
                <a:ext uri="{FF2B5EF4-FFF2-40B4-BE49-F238E27FC236}">
                  <a16:creationId xmlns:a16="http://schemas.microsoft.com/office/drawing/2014/main" id="{00000000-0008-0000-0100-00004E000000}"/>
                </a:ext>
              </a:extLst>
            </xdr:cNvPr>
            <xdr:cNvCxnSpPr>
              <a:stCxn id="68" idx="0"/>
              <a:endCxn id="70" idx="2"/>
            </xdr:cNvCxnSpPr>
          </xdr:nvCxnSpPr>
          <xdr:spPr bwMode="auto">
            <a:xfrm rot="5400000" flipH="1" flipV="1">
              <a:off x="3193027" y="36194"/>
              <a:ext cx="275536" cy="256535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79" name="Curved Connector 78">
              <a:extLst>
                <a:ext uri="{FF2B5EF4-FFF2-40B4-BE49-F238E27FC236}">
                  <a16:creationId xmlns:a16="http://schemas.microsoft.com/office/drawing/2014/main" id="{00000000-0008-0000-0100-00004F000000}"/>
                </a:ext>
              </a:extLst>
            </xdr:cNvPr>
            <xdr:cNvCxnSpPr>
              <a:stCxn id="73" idx="0"/>
              <a:endCxn id="68" idx="2"/>
            </xdr:cNvCxnSpPr>
          </xdr:nvCxnSpPr>
          <xdr:spPr bwMode="auto">
            <a:xfrm rot="16200000" flipV="1">
              <a:off x="1876755" y="2333768"/>
              <a:ext cx="342732" cy="1"/>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0" name="Curved Connector 79">
              <a:extLst>
                <a:ext uri="{FF2B5EF4-FFF2-40B4-BE49-F238E27FC236}">
                  <a16:creationId xmlns:a16="http://schemas.microsoft.com/office/drawing/2014/main" id="{00000000-0008-0000-0100-000050000000}"/>
                </a:ext>
              </a:extLst>
            </xdr:cNvPr>
            <xdr:cNvCxnSpPr>
              <a:stCxn id="72" idx="0"/>
              <a:endCxn id="90" idx="2"/>
            </xdr:cNvCxnSpPr>
          </xdr:nvCxnSpPr>
          <xdr:spPr bwMode="auto">
            <a:xfrm rot="5400000" flipH="1" flipV="1">
              <a:off x="6202252" y="2728297"/>
              <a:ext cx="383104" cy="1127226"/>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1" name="Curved Connector 80">
              <a:extLst>
                <a:ext uri="{FF2B5EF4-FFF2-40B4-BE49-F238E27FC236}">
                  <a16:creationId xmlns:a16="http://schemas.microsoft.com/office/drawing/2014/main" id="{00000000-0008-0000-0100-000051000000}"/>
                </a:ext>
              </a:extLst>
            </xdr:cNvPr>
            <xdr:cNvCxnSpPr>
              <a:stCxn id="69" idx="0"/>
              <a:endCxn id="90" idx="2"/>
            </xdr:cNvCxnSpPr>
          </xdr:nvCxnSpPr>
          <xdr:spPr bwMode="auto">
            <a:xfrm rot="16200000" flipV="1">
              <a:off x="7427879" y="2629897"/>
              <a:ext cx="368173" cy="1309096"/>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 name="Curved Connector 81">
              <a:extLst>
                <a:ext uri="{FF2B5EF4-FFF2-40B4-BE49-F238E27FC236}">
                  <a16:creationId xmlns:a16="http://schemas.microsoft.com/office/drawing/2014/main" id="{00000000-0008-0000-0100-000052000000}"/>
                </a:ext>
              </a:extLst>
            </xdr:cNvPr>
            <xdr:cNvCxnSpPr>
              <a:stCxn id="71" idx="0"/>
              <a:endCxn id="87" idx="2"/>
            </xdr:cNvCxnSpPr>
          </xdr:nvCxnSpPr>
          <xdr:spPr bwMode="auto">
            <a:xfrm rot="5400000" flipH="1" flipV="1">
              <a:off x="2004370" y="4395210"/>
              <a:ext cx="1078955" cy="1213581"/>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Curved Connector 82">
              <a:extLst>
                <a:ext uri="{FF2B5EF4-FFF2-40B4-BE49-F238E27FC236}">
                  <a16:creationId xmlns:a16="http://schemas.microsoft.com/office/drawing/2014/main" id="{00000000-0008-0000-0100-000053000000}"/>
                </a:ext>
              </a:extLst>
            </xdr:cNvPr>
            <xdr:cNvCxnSpPr>
              <a:stCxn id="75" idx="0"/>
              <a:endCxn id="87" idx="2"/>
            </xdr:cNvCxnSpPr>
          </xdr:nvCxnSpPr>
          <xdr:spPr bwMode="auto">
            <a:xfrm rot="16200000" flipV="1">
              <a:off x="2640876" y="4972284"/>
              <a:ext cx="1025146" cy="5622"/>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4" name="Curved Connector 83">
              <a:extLst>
                <a:ext uri="{FF2B5EF4-FFF2-40B4-BE49-F238E27FC236}">
                  <a16:creationId xmlns:a16="http://schemas.microsoft.com/office/drawing/2014/main" id="{00000000-0008-0000-0100-000054000000}"/>
                </a:ext>
              </a:extLst>
            </xdr:cNvPr>
            <xdr:cNvCxnSpPr>
              <a:stCxn id="74" idx="0"/>
              <a:endCxn id="87" idx="2"/>
            </xdr:cNvCxnSpPr>
          </xdr:nvCxnSpPr>
          <xdr:spPr bwMode="auto">
            <a:xfrm rot="16200000" flipV="1">
              <a:off x="3211073" y="4402088"/>
              <a:ext cx="1091655" cy="1212523"/>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5" name="Curved Connector 84">
              <a:extLst>
                <a:ext uri="{FF2B5EF4-FFF2-40B4-BE49-F238E27FC236}">
                  <a16:creationId xmlns:a16="http://schemas.microsoft.com/office/drawing/2014/main" id="{00000000-0008-0000-0100-000055000000}"/>
                </a:ext>
              </a:extLst>
            </xdr:cNvPr>
            <xdr:cNvCxnSpPr>
              <a:stCxn id="77" idx="0"/>
              <a:endCxn id="72" idx="2"/>
            </xdr:cNvCxnSpPr>
          </xdr:nvCxnSpPr>
          <xdr:spPr bwMode="auto">
            <a:xfrm rot="5400000" flipH="1" flipV="1">
              <a:off x="5557016" y="4319801"/>
              <a:ext cx="546348" cy="1"/>
            </a:xfrm>
            <a:prstGeom prst="curvedConnector3">
              <a:avLst>
                <a:gd name="adj1" fmla="val 50000"/>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6" name="Curved Connector 85">
              <a:extLst>
                <a:ext uri="{FF2B5EF4-FFF2-40B4-BE49-F238E27FC236}">
                  <a16:creationId xmlns:a16="http://schemas.microsoft.com/office/drawing/2014/main" id="{00000000-0008-0000-0100-000056000000}"/>
                </a:ext>
              </a:extLst>
            </xdr:cNvPr>
            <xdr:cNvCxnSpPr>
              <a:stCxn id="62" idx="0"/>
              <a:endCxn id="70" idx="2"/>
            </xdr:cNvCxnSpPr>
          </xdr:nvCxnSpPr>
          <xdr:spPr bwMode="auto">
            <a:xfrm rot="16200000" flipV="1">
              <a:off x="5682405" y="112167"/>
              <a:ext cx="196553" cy="2334422"/>
            </a:xfrm>
            <a:prstGeom prst="curvedConnector3">
              <a:avLst>
                <a:gd name="adj1" fmla="val 50000"/>
              </a:avLst>
            </a:prstGeom>
            <a:grpFill/>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7" name="Rounded Rectangle 86">
              <a:extLst>
                <a:ext uri="{FF2B5EF4-FFF2-40B4-BE49-F238E27FC236}">
                  <a16:creationId xmlns:a16="http://schemas.microsoft.com/office/drawing/2014/main" id="{00000000-0008-0000-0100-000057000000}"/>
                </a:ext>
              </a:extLst>
            </xdr:cNvPr>
            <xdr:cNvSpPr/>
          </xdr:nvSpPr>
          <xdr:spPr bwMode="auto">
            <a:xfrm>
              <a:off x="2599379" y="3740115"/>
              <a:ext cx="1102517" cy="722407"/>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Total expected # of adult females </a:t>
              </a:r>
            </a:p>
          </xdr:txBody>
        </xdr:sp>
        <xdr:cxnSp macro="">
          <xdr:nvCxnSpPr>
            <xdr:cNvPr id="88" name="Curved Connector 87">
              <a:extLst>
                <a:ext uri="{FF2B5EF4-FFF2-40B4-BE49-F238E27FC236}">
                  <a16:creationId xmlns:a16="http://schemas.microsoft.com/office/drawing/2014/main" id="{00000000-0008-0000-0100-000058000000}"/>
                </a:ext>
              </a:extLst>
            </xdr:cNvPr>
            <xdr:cNvCxnSpPr>
              <a:stCxn id="76" idx="0"/>
              <a:endCxn id="73" idx="2"/>
            </xdr:cNvCxnSpPr>
          </xdr:nvCxnSpPr>
          <xdr:spPr>
            <a:xfrm rot="5400000" flipH="1" flipV="1">
              <a:off x="1131966" y="2805417"/>
              <a:ext cx="532871" cy="129944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Curved Connector 88">
              <a:extLst>
                <a:ext uri="{FF2B5EF4-FFF2-40B4-BE49-F238E27FC236}">
                  <a16:creationId xmlns:a16="http://schemas.microsoft.com/office/drawing/2014/main" id="{00000000-0008-0000-0100-000059000000}"/>
                </a:ext>
              </a:extLst>
            </xdr:cNvPr>
            <xdr:cNvCxnSpPr>
              <a:stCxn id="87" idx="0"/>
              <a:endCxn id="73" idx="2"/>
            </xdr:cNvCxnSpPr>
          </xdr:nvCxnSpPr>
          <xdr:spPr>
            <a:xfrm rot="16200000" flipV="1">
              <a:off x="2323673" y="2913149"/>
              <a:ext cx="551414" cy="1102517"/>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0" name="Rounded Rectangle 89">
              <a:extLst>
                <a:ext uri="{FF2B5EF4-FFF2-40B4-BE49-F238E27FC236}">
                  <a16:creationId xmlns:a16="http://schemas.microsoft.com/office/drawing/2014/main" id="{00000000-0008-0000-0100-00005A000000}"/>
                </a:ext>
              </a:extLst>
            </xdr:cNvPr>
            <xdr:cNvSpPr/>
          </xdr:nvSpPr>
          <xdr:spPr bwMode="auto">
            <a:xfrm>
              <a:off x="6406158" y="2416792"/>
              <a:ext cx="1102517" cy="683566"/>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females lost</a:t>
              </a:r>
            </a:p>
          </xdr:txBody>
        </xdr:sp>
        <xdr:cxnSp macro="">
          <xdr:nvCxnSpPr>
            <xdr:cNvPr id="91" name="Curved Connector 90">
              <a:extLst>
                <a:ext uri="{FF2B5EF4-FFF2-40B4-BE49-F238E27FC236}">
                  <a16:creationId xmlns:a16="http://schemas.microsoft.com/office/drawing/2014/main" id="{00000000-0008-0000-0100-00005B000000}"/>
                </a:ext>
              </a:extLst>
            </xdr:cNvPr>
            <xdr:cNvCxnSpPr>
              <a:stCxn id="90" idx="0"/>
              <a:endCxn id="62" idx="2"/>
            </xdr:cNvCxnSpPr>
          </xdr:nvCxnSpPr>
          <xdr:spPr>
            <a:xfrm rot="16200000" flipV="1">
              <a:off x="6734859" y="2194233"/>
              <a:ext cx="435592" cy="9525"/>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2" name="Rounded Rectangle 91">
              <a:extLst>
                <a:ext uri="{FF2B5EF4-FFF2-40B4-BE49-F238E27FC236}">
                  <a16:creationId xmlns:a16="http://schemas.microsoft.com/office/drawing/2014/main" id="{00000000-0008-0000-0100-00005C000000}"/>
                </a:ext>
              </a:extLst>
            </xdr:cNvPr>
            <xdr:cNvSpPr/>
          </xdr:nvSpPr>
          <xdr:spPr bwMode="auto">
            <a:xfrm>
              <a:off x="197498" y="4845115"/>
              <a:ext cx="1095946" cy="554523"/>
            </a:xfrm>
            <a:prstGeom prst="roundRec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Demographic (credit)  model</a:t>
              </a:r>
            </a:p>
          </xdr:txBody>
        </xdr:sp>
        <xdr:sp macro="" textlink="">
          <xdr:nvSpPr>
            <xdr:cNvPr id="93" name="Rounded Rectangle 92">
              <a:extLst>
                <a:ext uri="{FF2B5EF4-FFF2-40B4-BE49-F238E27FC236}">
                  <a16:creationId xmlns:a16="http://schemas.microsoft.com/office/drawing/2014/main" id="{00000000-0008-0000-0100-00005D000000}"/>
                </a:ext>
              </a:extLst>
            </xdr:cNvPr>
            <xdr:cNvSpPr/>
          </xdr:nvSpPr>
          <xdr:spPr bwMode="auto">
            <a:xfrm>
              <a:off x="7719340" y="4481092"/>
              <a:ext cx="1095946" cy="554523"/>
            </a:xfrm>
            <a:prstGeom prst="roundRec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Demographic (debit) model</a:t>
              </a:r>
            </a:p>
          </xdr:txBody>
        </xdr:sp>
        <xdr:cxnSp macro="">
          <xdr:nvCxnSpPr>
            <xdr:cNvPr id="94" name="Curved Connector 93">
              <a:extLst>
                <a:ext uri="{FF2B5EF4-FFF2-40B4-BE49-F238E27FC236}">
                  <a16:creationId xmlns:a16="http://schemas.microsoft.com/office/drawing/2014/main" id="{00000000-0008-0000-0100-00005E000000}"/>
                </a:ext>
              </a:extLst>
            </xdr:cNvPr>
            <xdr:cNvCxnSpPr>
              <a:stCxn id="92" idx="0"/>
              <a:endCxn id="76" idx="2"/>
            </xdr:cNvCxnSpPr>
          </xdr:nvCxnSpPr>
          <xdr:spPr>
            <a:xfrm rot="5400000" flipH="1" flipV="1">
              <a:off x="476151" y="4572585"/>
              <a:ext cx="541851" cy="321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95" name="Curved Connector 94">
              <a:extLst>
                <a:ext uri="{FF2B5EF4-FFF2-40B4-BE49-F238E27FC236}">
                  <a16:creationId xmlns:a16="http://schemas.microsoft.com/office/drawing/2014/main" id="{00000000-0008-0000-0100-00005F000000}"/>
                </a:ext>
              </a:extLst>
            </xdr:cNvPr>
            <xdr:cNvCxnSpPr>
              <a:stCxn id="93" idx="0"/>
              <a:endCxn id="69" idx="2"/>
            </xdr:cNvCxnSpPr>
          </xdr:nvCxnSpPr>
          <xdr:spPr>
            <a:xfrm rot="16200000" flipV="1">
              <a:off x="8042215" y="4255994"/>
              <a:ext cx="449396" cy="80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FW3INFO-SRV\Share\Users\jszymanski\Documents\My%20files\Ibat\Wind\Regional%20HCP\Mitigation\REA\2013\DOCUME~1\JSZYMA~1\LOCALS~1\Temp\notes774206\BatModel-111003\Bats-Cred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ife Stages"/>
      <sheetName val="Maternity Roost Project"/>
      <sheetName val="Female Gain"/>
      <sheetName val="Indirect Gain"/>
      <sheetName val="2nd Generation"/>
      <sheetName val="Notes"/>
      <sheetName val="Sheet2"/>
    </sheetNames>
    <sheetDataSet>
      <sheetData sheetId="0">
        <row r="5">
          <cell r="D5">
            <v>2012</v>
          </cell>
        </row>
        <row r="6">
          <cell r="D6">
            <v>2012</v>
          </cell>
        </row>
        <row r="8">
          <cell r="D8">
            <v>2012</v>
          </cell>
        </row>
        <row r="9">
          <cell r="D9">
            <v>1.03</v>
          </cell>
        </row>
      </sheetData>
      <sheetData sheetId="1" refreshError="1"/>
      <sheetData sheetId="2">
        <row r="6">
          <cell r="D6">
            <v>0.5</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Q62"/>
  <sheetViews>
    <sheetView tabSelected="1" workbookViewId="0">
      <selection activeCell="G19" sqref="G19"/>
    </sheetView>
  </sheetViews>
  <sheetFormatPr defaultColWidth="9.109375" defaultRowHeight="14.4" x14ac:dyDescent="0.3"/>
  <cols>
    <col min="1" max="1" width="9.109375" style="46"/>
    <col min="2" max="2" width="17.33203125" style="46" customWidth="1"/>
    <col min="3" max="3" width="9.109375" style="46"/>
    <col min="4" max="4" width="11" style="46" customWidth="1"/>
    <col min="5" max="16384" width="9.109375" style="46"/>
  </cols>
  <sheetData>
    <row r="2" spans="2:17" x14ac:dyDescent="0.3">
      <c r="B2" s="127" t="s">
        <v>197</v>
      </c>
      <c r="C2" s="46" t="s">
        <v>263</v>
      </c>
    </row>
    <row r="3" spans="2:17" x14ac:dyDescent="0.3">
      <c r="B3" s="127" t="s">
        <v>163</v>
      </c>
      <c r="C3" s="46" t="s">
        <v>196</v>
      </c>
    </row>
    <row r="4" spans="2:17" x14ac:dyDescent="0.3">
      <c r="B4" s="127"/>
    </row>
    <row r="5" spans="2:17" x14ac:dyDescent="0.3">
      <c r="B5" s="127" t="s">
        <v>185</v>
      </c>
      <c r="C5" s="617" t="s">
        <v>186</v>
      </c>
      <c r="D5" s="617"/>
      <c r="E5" s="617"/>
      <c r="F5" s="617"/>
      <c r="G5" s="617"/>
      <c r="H5" s="617"/>
      <c r="I5" s="617"/>
      <c r="J5" s="617"/>
      <c r="K5" s="617"/>
      <c r="L5" s="617"/>
      <c r="M5" s="617"/>
      <c r="N5" s="617"/>
      <c r="O5" s="617"/>
      <c r="P5" s="617"/>
      <c r="Q5" s="617"/>
    </row>
    <row r="6" spans="2:17" x14ac:dyDescent="0.3">
      <c r="B6" s="127"/>
      <c r="C6" s="617"/>
      <c r="D6" s="617"/>
      <c r="E6" s="617"/>
      <c r="F6" s="617"/>
      <c r="G6" s="617"/>
      <c r="H6" s="617"/>
      <c r="I6" s="617"/>
      <c r="J6" s="617"/>
      <c r="K6" s="617"/>
      <c r="L6" s="617"/>
      <c r="M6" s="617"/>
      <c r="N6" s="617"/>
      <c r="O6" s="617"/>
      <c r="P6" s="617"/>
      <c r="Q6" s="617"/>
    </row>
    <row r="7" spans="2:17" x14ac:dyDescent="0.3">
      <c r="B7" s="127"/>
      <c r="C7" s="342"/>
      <c r="D7" s="342"/>
      <c r="E7" s="342"/>
      <c r="F7" s="342"/>
      <c r="G7" s="342"/>
      <c r="H7" s="342"/>
      <c r="I7" s="342"/>
      <c r="J7" s="342"/>
      <c r="K7" s="342"/>
      <c r="L7" s="342"/>
      <c r="M7" s="342"/>
      <c r="N7" s="342"/>
      <c r="O7" s="342"/>
      <c r="P7" s="342"/>
      <c r="Q7" s="342"/>
    </row>
    <row r="8" spans="2:17" x14ac:dyDescent="0.3">
      <c r="B8" s="127" t="s">
        <v>183</v>
      </c>
      <c r="C8" s="46" t="s">
        <v>184</v>
      </c>
    </row>
    <row r="9" spans="2:17" x14ac:dyDescent="0.3">
      <c r="B9" s="127"/>
    </row>
    <row r="10" spans="2:17" s="108" customFormat="1" x14ac:dyDescent="0.3"/>
    <row r="11" spans="2:17" s="108" customFormat="1" x14ac:dyDescent="0.3"/>
    <row r="12" spans="2:17" s="108" customFormat="1" x14ac:dyDescent="0.3"/>
    <row r="13" spans="2:17" s="108" customFormat="1" x14ac:dyDescent="0.3"/>
    <row r="14" spans="2:17" s="108" customFormat="1" x14ac:dyDescent="0.3"/>
    <row r="15" spans="2:17" s="108" customFormat="1" x14ac:dyDescent="0.3">
      <c r="L15" s="12"/>
    </row>
    <row r="16" spans="2:17" s="108" customFormat="1" x14ac:dyDescent="0.3"/>
    <row r="17" spans="2:3" s="108" customFormat="1" x14ac:dyDescent="0.3">
      <c r="B17" s="12"/>
    </row>
    <row r="18" spans="2:3" s="108" customFormat="1" x14ac:dyDescent="0.3"/>
    <row r="19" spans="2:3" s="108" customFormat="1" x14ac:dyDescent="0.3">
      <c r="C19" s="109"/>
    </row>
    <row r="20" spans="2:3" s="108" customFormat="1" x14ac:dyDescent="0.3"/>
    <row r="21" spans="2:3" s="108" customFormat="1" x14ac:dyDescent="0.3"/>
    <row r="22" spans="2:3" s="108" customFormat="1" x14ac:dyDescent="0.3"/>
    <row r="23" spans="2:3" s="108" customFormat="1" x14ac:dyDescent="0.3"/>
    <row r="24" spans="2:3" s="108" customFormat="1" x14ac:dyDescent="0.3"/>
    <row r="25" spans="2:3" s="108" customFormat="1" x14ac:dyDescent="0.3">
      <c r="B25" s="313"/>
    </row>
    <row r="26" spans="2:3" s="108" customFormat="1" x14ac:dyDescent="0.3"/>
    <row r="27" spans="2:3" s="108" customFormat="1" x14ac:dyDescent="0.3"/>
    <row r="28" spans="2:3" s="108" customFormat="1" x14ac:dyDescent="0.3"/>
    <row r="29" spans="2:3" s="108" customFormat="1" x14ac:dyDescent="0.3"/>
    <row r="30" spans="2:3" s="108" customFormat="1" x14ac:dyDescent="0.3"/>
    <row r="31" spans="2:3" s="108" customFormat="1" x14ac:dyDescent="0.3"/>
    <row r="32" spans="2:3" s="108" customFormat="1" x14ac:dyDescent="0.3">
      <c r="B32" s="313"/>
    </row>
    <row r="33" spans="2:2" s="108" customFormat="1" x14ac:dyDescent="0.3"/>
    <row r="34" spans="2:2" s="108" customFormat="1" x14ac:dyDescent="0.3"/>
    <row r="35" spans="2:2" s="108" customFormat="1" x14ac:dyDescent="0.3"/>
    <row r="36" spans="2:2" s="108" customFormat="1" x14ac:dyDescent="0.3"/>
    <row r="37" spans="2:2" s="108" customFormat="1" x14ac:dyDescent="0.3"/>
    <row r="38" spans="2:2" s="108" customFormat="1" x14ac:dyDescent="0.3">
      <c r="B38" s="313"/>
    </row>
    <row r="39" spans="2:2" s="108" customFormat="1" x14ac:dyDescent="0.3"/>
    <row r="40" spans="2:2" s="108" customFormat="1" x14ac:dyDescent="0.3"/>
    <row r="41" spans="2:2" s="108" customFormat="1" x14ac:dyDescent="0.3"/>
    <row r="42" spans="2:2" s="108" customFormat="1" x14ac:dyDescent="0.3"/>
    <row r="43" spans="2:2" s="108" customFormat="1" x14ac:dyDescent="0.3"/>
    <row r="44" spans="2:2" s="108" customFormat="1" x14ac:dyDescent="0.3"/>
    <row r="45" spans="2:2" s="108" customFormat="1" x14ac:dyDescent="0.3"/>
    <row r="46" spans="2:2" s="108" customFormat="1" x14ac:dyDescent="0.3"/>
    <row r="47" spans="2:2" s="108" customFormat="1" x14ac:dyDescent="0.3"/>
    <row r="48" spans="2:2" s="108" customFormat="1" x14ac:dyDescent="0.3"/>
    <row r="49" s="108" customFormat="1" x14ac:dyDescent="0.3"/>
    <row r="50" s="108" customFormat="1" x14ac:dyDescent="0.3"/>
    <row r="51" s="108" customFormat="1" x14ac:dyDescent="0.3"/>
    <row r="52" s="108" customFormat="1" x14ac:dyDescent="0.3"/>
    <row r="53" s="108" customFormat="1" x14ac:dyDescent="0.3"/>
    <row r="54" s="108" customFormat="1" x14ac:dyDescent="0.3"/>
    <row r="55" s="108" customFormat="1" x14ac:dyDescent="0.3"/>
    <row r="56" s="108" customFormat="1" x14ac:dyDescent="0.3"/>
    <row r="57" s="108" customFormat="1" x14ac:dyDescent="0.3"/>
    <row r="58" s="108" customFormat="1" x14ac:dyDescent="0.3"/>
    <row r="59" s="108" customFormat="1" x14ac:dyDescent="0.3"/>
    <row r="60" s="108" customFormat="1" x14ac:dyDescent="0.3"/>
    <row r="61" s="108" customFormat="1" x14ac:dyDescent="0.3"/>
    <row r="62" s="108" customFormat="1" x14ac:dyDescent="0.3"/>
  </sheetData>
  <mergeCells count="1">
    <mergeCell ref="C5:Q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
  <sheetViews>
    <sheetView zoomScaleNormal="100" workbookViewId="0">
      <selection activeCell="W15" sqref="W15"/>
    </sheetView>
  </sheetViews>
  <sheetFormatPr defaultRowHeight="14.4" x14ac:dyDescent="0.3"/>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Y65"/>
  <sheetViews>
    <sheetView zoomScaleNormal="100" workbookViewId="0">
      <selection activeCell="G9" sqref="G9"/>
    </sheetView>
  </sheetViews>
  <sheetFormatPr defaultColWidth="9.109375" defaultRowHeight="14.4" x14ac:dyDescent="0.3"/>
  <cols>
    <col min="1" max="1" width="9.109375" style="442"/>
    <col min="2" max="2" width="62.5546875" style="183" customWidth="1"/>
    <col min="3" max="3" width="17.33203125" style="183" customWidth="1"/>
    <col min="4" max="4" width="13.109375" style="183" customWidth="1"/>
    <col min="5" max="25" width="9.109375" style="442"/>
    <col min="26" max="16384" width="9.109375" style="183"/>
  </cols>
  <sheetData>
    <row r="1" spans="1:25" x14ac:dyDescent="0.3">
      <c r="B1" s="196"/>
      <c r="C1" s="207"/>
      <c r="D1" s="182"/>
      <c r="E1" s="438"/>
    </row>
    <row r="2" spans="1:25" ht="18" x14ac:dyDescent="0.35">
      <c r="B2" s="184" t="s">
        <v>59</v>
      </c>
      <c r="C2" s="208"/>
      <c r="D2" s="209"/>
      <c r="E2" s="438"/>
    </row>
    <row r="3" spans="1:25" s="175" customFormat="1" ht="15.6" x14ac:dyDescent="0.3">
      <c r="A3" s="445"/>
      <c r="B3" s="210" t="s">
        <v>156</v>
      </c>
      <c r="C3" s="211"/>
      <c r="D3" s="212"/>
      <c r="E3" s="444"/>
      <c r="F3" s="445"/>
      <c r="G3" s="445"/>
      <c r="H3" s="445"/>
      <c r="I3" s="445"/>
      <c r="J3" s="445"/>
      <c r="K3" s="445"/>
      <c r="L3" s="445"/>
      <c r="M3" s="445"/>
      <c r="N3" s="445"/>
      <c r="O3" s="445"/>
      <c r="P3" s="445"/>
      <c r="Q3" s="445"/>
      <c r="R3" s="445"/>
      <c r="S3" s="445"/>
      <c r="T3" s="445"/>
      <c r="U3" s="445"/>
      <c r="V3" s="445"/>
      <c r="W3" s="445"/>
      <c r="X3" s="445"/>
      <c r="Y3" s="445"/>
    </row>
    <row r="4" spans="1:25" ht="15.6" x14ac:dyDescent="0.3">
      <c r="B4" s="31" t="s">
        <v>42</v>
      </c>
      <c r="C4" s="320"/>
      <c r="D4" s="181"/>
      <c r="E4" s="438"/>
      <c r="G4" s="607"/>
    </row>
    <row r="5" spans="1:25" ht="15.6" x14ac:dyDescent="0.3">
      <c r="B5" s="179" t="s">
        <v>199</v>
      </c>
      <c r="C5" s="213"/>
      <c r="D5" s="180"/>
      <c r="E5" s="446"/>
    </row>
    <row r="6" spans="1:25" ht="15.6" x14ac:dyDescent="0.3">
      <c r="B6" s="177" t="s">
        <v>157</v>
      </c>
      <c r="C6" s="214"/>
      <c r="D6" s="176"/>
      <c r="E6" s="446"/>
    </row>
    <row r="7" spans="1:25" s="344" customFormat="1" ht="15.6" x14ac:dyDescent="0.3">
      <c r="A7" s="442"/>
      <c r="B7" s="428" t="s">
        <v>76</v>
      </c>
      <c r="C7" s="215"/>
      <c r="D7" s="178"/>
      <c r="E7" s="446"/>
      <c r="F7" s="442"/>
      <c r="G7" s="442"/>
      <c r="H7" s="442"/>
      <c r="I7" s="442"/>
      <c r="J7" s="442"/>
      <c r="K7" s="442"/>
      <c r="L7" s="442"/>
      <c r="M7" s="442"/>
      <c r="N7" s="442"/>
      <c r="O7" s="442"/>
      <c r="P7" s="442"/>
      <c r="Q7" s="442"/>
      <c r="R7" s="442"/>
      <c r="S7" s="442"/>
      <c r="T7" s="442"/>
      <c r="U7" s="442"/>
      <c r="V7" s="442"/>
      <c r="W7" s="442"/>
      <c r="X7" s="442"/>
      <c r="Y7" s="442"/>
    </row>
    <row r="8" spans="1:25" s="344" customFormat="1" ht="15.6" x14ac:dyDescent="0.3">
      <c r="A8" s="442"/>
      <c r="B8" s="156" t="s">
        <v>235</v>
      </c>
      <c r="C8" s="216" t="s">
        <v>48</v>
      </c>
      <c r="D8" s="468">
        <f>IF(C8="yes",C7*VLOOKUP(C8,B25:C26,2),0)</f>
        <v>0</v>
      </c>
      <c r="E8" s="446"/>
      <c r="F8" s="442"/>
      <c r="G8" s="442"/>
      <c r="H8" s="442"/>
      <c r="I8" s="442"/>
      <c r="J8" s="442"/>
      <c r="K8" s="442"/>
      <c r="L8" s="442"/>
      <c r="M8" s="442"/>
      <c r="N8" s="442"/>
      <c r="O8" s="442"/>
      <c r="P8" s="442"/>
      <c r="Q8" s="442"/>
      <c r="R8" s="442"/>
      <c r="S8" s="442"/>
      <c r="T8" s="442"/>
      <c r="U8" s="442"/>
      <c r="V8" s="442"/>
      <c r="W8" s="442"/>
      <c r="X8" s="442"/>
      <c r="Y8" s="442"/>
    </row>
    <row r="9" spans="1:25" s="344" customFormat="1" ht="15.6" x14ac:dyDescent="0.3">
      <c r="A9" s="442"/>
      <c r="B9" s="156" t="s">
        <v>234</v>
      </c>
      <c r="C9" s="216" t="s">
        <v>48</v>
      </c>
      <c r="D9" s="468">
        <f>IF(C9="yes",(D10*D11*C7),0)</f>
        <v>0</v>
      </c>
      <c r="E9" s="446"/>
      <c r="F9" s="442"/>
      <c r="G9" s="442"/>
      <c r="H9" s="442"/>
      <c r="I9" s="442"/>
      <c r="J9" s="442"/>
      <c r="K9" s="442"/>
      <c r="L9" s="442"/>
      <c r="M9" s="442"/>
      <c r="N9" s="442"/>
      <c r="O9" s="442"/>
      <c r="P9" s="442"/>
      <c r="Q9" s="442"/>
      <c r="R9" s="442"/>
      <c r="S9" s="442"/>
      <c r="T9" s="442"/>
      <c r="U9" s="442"/>
      <c r="V9" s="442"/>
      <c r="W9" s="442"/>
      <c r="X9" s="442"/>
      <c r="Y9" s="442"/>
    </row>
    <row r="10" spans="1:25" s="344" customFormat="1" ht="15.6" x14ac:dyDescent="0.3">
      <c r="A10" s="442"/>
      <c r="B10" s="430" t="s">
        <v>43</v>
      </c>
      <c r="C10" s="216" t="s">
        <v>236</v>
      </c>
      <c r="D10" s="475">
        <f>VLOOKUP(C10,B29:C31,2,0)</f>
        <v>1</v>
      </c>
      <c r="E10" s="446"/>
      <c r="F10" s="599"/>
      <c r="G10" s="442"/>
      <c r="H10" s="442"/>
      <c r="I10" s="442"/>
      <c r="J10" s="442"/>
      <c r="K10" s="442"/>
      <c r="L10" s="442"/>
      <c r="M10" s="442"/>
      <c r="N10" s="442"/>
      <c r="O10" s="442"/>
      <c r="P10" s="442"/>
      <c r="Q10" s="442"/>
      <c r="R10" s="442"/>
      <c r="S10" s="442"/>
      <c r="T10" s="442"/>
      <c r="U10" s="442"/>
      <c r="V10" s="442"/>
      <c r="W10" s="442"/>
      <c r="X10" s="442"/>
      <c r="Y10" s="442"/>
    </row>
    <row r="11" spans="1:25" s="344" customFormat="1" ht="15.6" x14ac:dyDescent="0.3">
      <c r="A11" s="442"/>
      <c r="B11" s="430" t="s">
        <v>237</v>
      </c>
      <c r="C11" s="216" t="s">
        <v>244</v>
      </c>
      <c r="D11" s="475">
        <f>VLOOKUP(C11,B34:C36,2,0)</f>
        <v>0.55000000000000004</v>
      </c>
      <c r="E11" s="446"/>
      <c r="F11" s="599"/>
      <c r="G11" s="442"/>
      <c r="H11" s="442"/>
      <c r="I11" s="442"/>
      <c r="J11" s="442"/>
      <c r="K11" s="442"/>
      <c r="L11" s="442"/>
      <c r="M11" s="442"/>
      <c r="N11" s="442"/>
      <c r="O11" s="442"/>
      <c r="P11" s="442"/>
      <c r="Q11" s="442"/>
      <c r="R11" s="442"/>
      <c r="S11" s="442"/>
      <c r="T11" s="442"/>
      <c r="U11" s="442"/>
      <c r="V11" s="442"/>
      <c r="W11" s="442"/>
      <c r="X11" s="442"/>
      <c r="Y11" s="442"/>
    </row>
    <row r="12" spans="1:25" s="344" customFormat="1" ht="15.6" x14ac:dyDescent="0.3">
      <c r="A12" s="442"/>
      <c r="B12" s="429" t="s">
        <v>79</v>
      </c>
      <c r="C12" s="216" t="s">
        <v>47</v>
      </c>
      <c r="D12" s="475">
        <f>IF(C12="no", 0, C7*D13*D18*D19)</f>
        <v>0</v>
      </c>
      <c r="E12" s="446"/>
      <c r="F12" s="599"/>
      <c r="G12" s="442"/>
      <c r="H12" s="442"/>
      <c r="I12" s="442"/>
      <c r="J12" s="442"/>
      <c r="K12" s="442"/>
      <c r="L12" s="442"/>
      <c r="M12" s="442"/>
      <c r="N12" s="442"/>
      <c r="O12" s="442"/>
      <c r="P12" s="442"/>
      <c r="Q12" s="442"/>
      <c r="R12" s="442"/>
      <c r="S12" s="442"/>
      <c r="T12" s="442"/>
      <c r="U12" s="442"/>
      <c r="V12" s="442"/>
      <c r="W12" s="442"/>
      <c r="X12" s="442"/>
      <c r="Y12" s="442"/>
    </row>
    <row r="13" spans="1:25" s="344" customFormat="1" ht="15.6" x14ac:dyDescent="0.3">
      <c r="A13" s="442"/>
      <c r="B13" s="31" t="s">
        <v>245</v>
      </c>
      <c r="C13" s="217"/>
      <c r="D13" s="475">
        <f>D14*D15*IF(D16=0,IF(D17=0,0,1),1)</f>
        <v>1</v>
      </c>
      <c r="E13" s="447"/>
      <c r="F13" s="442"/>
      <c r="G13" s="442"/>
      <c r="H13" s="442"/>
      <c r="I13" s="442"/>
      <c r="J13" s="442"/>
      <c r="K13" s="442"/>
      <c r="L13" s="442"/>
      <c r="M13" s="442"/>
      <c r="N13" s="442"/>
      <c r="O13" s="442"/>
      <c r="P13" s="442"/>
      <c r="Q13" s="442"/>
      <c r="R13" s="442"/>
      <c r="S13" s="442"/>
      <c r="T13" s="442"/>
      <c r="U13" s="442"/>
      <c r="V13" s="442"/>
      <c r="W13" s="442"/>
      <c r="X13" s="442"/>
      <c r="Y13" s="442"/>
    </row>
    <row r="14" spans="1:25" s="344" customFormat="1" ht="15.6" x14ac:dyDescent="0.3">
      <c r="A14" s="442"/>
      <c r="B14" s="31" t="s">
        <v>230</v>
      </c>
      <c r="C14" s="321" t="s">
        <v>47</v>
      </c>
      <c r="D14" s="475">
        <f>VLOOKUP(C14,B43:C44,2,0)</f>
        <v>1</v>
      </c>
      <c r="E14" s="448"/>
      <c r="F14" s="442"/>
      <c r="G14" s="442"/>
      <c r="H14" s="442"/>
      <c r="I14" s="442"/>
      <c r="J14" s="442"/>
      <c r="K14" s="442"/>
      <c r="L14" s="442"/>
      <c r="M14" s="442"/>
      <c r="N14" s="442"/>
      <c r="O14" s="442"/>
      <c r="P14" s="442"/>
      <c r="Q14" s="442"/>
      <c r="R14" s="442"/>
      <c r="S14" s="442"/>
      <c r="T14" s="442"/>
      <c r="U14" s="442"/>
      <c r="V14" s="442"/>
      <c r="W14" s="442"/>
      <c r="X14" s="442"/>
      <c r="Y14" s="442"/>
    </row>
    <row r="15" spans="1:25" s="344" customFormat="1" ht="15.6" x14ac:dyDescent="0.3">
      <c r="A15" s="442"/>
      <c r="B15" s="32" t="s">
        <v>81</v>
      </c>
      <c r="C15" s="321" t="s">
        <v>47</v>
      </c>
      <c r="D15" s="475">
        <f>VLOOKUP(C15,B47:C48,2,0)</f>
        <v>1</v>
      </c>
      <c r="E15" s="447"/>
      <c r="F15" s="442"/>
      <c r="G15" s="442"/>
      <c r="H15" s="442"/>
      <c r="I15" s="442"/>
      <c r="J15" s="442"/>
      <c r="K15" s="442"/>
      <c r="L15" s="442"/>
      <c r="M15" s="442"/>
      <c r="N15" s="442"/>
      <c r="O15" s="442"/>
      <c r="P15" s="442"/>
      <c r="Q15" s="442"/>
      <c r="R15" s="442"/>
      <c r="S15" s="442"/>
      <c r="T15" s="442"/>
      <c r="U15" s="442"/>
      <c r="V15" s="442"/>
      <c r="W15" s="442"/>
      <c r="X15" s="442"/>
      <c r="Y15" s="442"/>
    </row>
    <row r="16" spans="1:25" s="344" customFormat="1" ht="15.6" x14ac:dyDescent="0.3">
      <c r="A16" s="442"/>
      <c r="B16" s="31" t="s">
        <v>46</v>
      </c>
      <c r="C16" s="321" t="s">
        <v>47</v>
      </c>
      <c r="D16" s="475">
        <f>VLOOKUP(C16,B51:C52,2,0)</f>
        <v>1</v>
      </c>
      <c r="E16" s="449"/>
      <c r="F16" s="442"/>
      <c r="G16" s="442"/>
      <c r="H16" s="442"/>
      <c r="I16" s="442"/>
      <c r="J16" s="442"/>
      <c r="K16" s="442"/>
      <c r="L16" s="442"/>
      <c r="M16" s="442"/>
      <c r="N16" s="442"/>
      <c r="O16" s="442"/>
      <c r="P16" s="442"/>
      <c r="Q16" s="442"/>
      <c r="R16" s="442"/>
      <c r="S16" s="442"/>
      <c r="T16" s="442"/>
      <c r="U16" s="442"/>
      <c r="V16" s="442"/>
      <c r="W16" s="442"/>
      <c r="X16" s="442"/>
      <c r="Y16" s="442"/>
    </row>
    <row r="17" spans="1:25" s="344" customFormat="1" ht="15.6" x14ac:dyDescent="0.3">
      <c r="A17" s="442"/>
      <c r="B17" s="31" t="s">
        <v>77</v>
      </c>
      <c r="C17" s="321" t="s">
        <v>47</v>
      </c>
      <c r="D17" s="475">
        <f>VLOOKUP(C17,B55:C56,2,0)</f>
        <v>1</v>
      </c>
      <c r="E17" s="447"/>
      <c r="F17" s="442"/>
      <c r="G17" s="442"/>
      <c r="H17" s="442"/>
      <c r="I17" s="442"/>
      <c r="J17" s="442"/>
      <c r="K17" s="442"/>
      <c r="L17" s="442"/>
      <c r="M17" s="442"/>
      <c r="N17" s="442"/>
      <c r="O17" s="442"/>
      <c r="P17" s="442"/>
      <c r="Q17" s="442"/>
      <c r="R17" s="442"/>
      <c r="S17" s="442"/>
      <c r="T17" s="442"/>
      <c r="U17" s="442"/>
      <c r="V17" s="442"/>
      <c r="W17" s="442"/>
      <c r="X17" s="442"/>
      <c r="Y17" s="442"/>
    </row>
    <row r="18" spans="1:25" s="344" customFormat="1" ht="15.6" x14ac:dyDescent="0.3">
      <c r="A18" s="442"/>
      <c r="B18" s="31" t="s">
        <v>246</v>
      </c>
      <c r="C18" s="470" t="s">
        <v>68</v>
      </c>
      <c r="D18" s="469">
        <f>IF(D15=0,0,(VLOOKUP(C18,B59:C62,2,0)))</f>
        <v>1</v>
      </c>
      <c r="E18" s="448"/>
      <c r="F18" s="442"/>
      <c r="G18" s="442"/>
      <c r="H18" s="442"/>
      <c r="I18" s="442"/>
      <c r="J18" s="442"/>
      <c r="K18" s="442"/>
      <c r="L18" s="442"/>
      <c r="M18" s="442"/>
      <c r="N18" s="442"/>
      <c r="O18" s="442"/>
      <c r="P18" s="442"/>
      <c r="Q18" s="442"/>
      <c r="R18" s="442"/>
      <c r="S18" s="442"/>
      <c r="T18" s="442"/>
      <c r="U18" s="442"/>
      <c r="V18" s="442"/>
      <c r="W18" s="442"/>
      <c r="X18" s="442"/>
      <c r="Y18" s="442"/>
    </row>
    <row r="19" spans="1:25" s="344" customFormat="1" x14ac:dyDescent="0.3">
      <c r="A19" s="442"/>
      <c r="B19" s="471" t="s">
        <v>247</v>
      </c>
      <c r="C19" s="472"/>
      <c r="D19" s="473">
        <v>0.02</v>
      </c>
      <c r="E19" s="448"/>
      <c r="F19" s="442"/>
      <c r="G19" s="442"/>
      <c r="H19" s="442"/>
      <c r="I19" s="442"/>
      <c r="J19" s="442"/>
      <c r="K19" s="442"/>
      <c r="L19" s="442"/>
      <c r="M19" s="442"/>
      <c r="N19" s="442"/>
      <c r="O19" s="442"/>
      <c r="P19" s="442"/>
      <c r="Q19" s="442"/>
      <c r="R19" s="442"/>
      <c r="S19" s="442"/>
      <c r="T19" s="442"/>
      <c r="U19" s="442"/>
      <c r="V19" s="442"/>
      <c r="W19" s="442"/>
      <c r="X19" s="442"/>
      <c r="Y19" s="442"/>
    </row>
    <row r="20" spans="1:25" s="344" customFormat="1" x14ac:dyDescent="0.3">
      <c r="A20" s="442"/>
      <c r="B20" s="169" t="s">
        <v>72</v>
      </c>
      <c r="C20" s="569">
        <f>D20/2</f>
        <v>0</v>
      </c>
      <c r="D20" s="474">
        <f>IF(C8="yes",D8,(D9+D12))</f>
        <v>0</v>
      </c>
      <c r="E20" s="449"/>
      <c r="F20" s="442"/>
      <c r="G20" s="442"/>
      <c r="H20" s="442"/>
      <c r="I20" s="442"/>
      <c r="J20" s="442"/>
      <c r="K20" s="442"/>
      <c r="L20" s="442"/>
      <c r="M20" s="442"/>
      <c r="N20" s="442"/>
      <c r="O20" s="442"/>
      <c r="P20" s="442"/>
      <c r="Q20" s="442"/>
      <c r="R20" s="442"/>
      <c r="S20" s="442"/>
      <c r="T20" s="442"/>
      <c r="U20" s="442"/>
      <c r="V20" s="442"/>
      <c r="W20" s="442"/>
      <c r="X20" s="442"/>
      <c r="Y20" s="442"/>
    </row>
    <row r="21" spans="1:25" s="442" customFormat="1" x14ac:dyDescent="0.3">
      <c r="B21" s="438"/>
      <c r="C21" s="453"/>
      <c r="D21" s="438"/>
      <c r="E21" s="448"/>
    </row>
    <row r="22" spans="1:25" s="442" customFormat="1" x14ac:dyDescent="0.3">
      <c r="B22" s="438"/>
      <c r="C22" s="453"/>
      <c r="D22" s="438"/>
      <c r="E22" s="449"/>
    </row>
    <row r="23" spans="1:25" s="346" customFormat="1" ht="18" x14ac:dyDescent="0.35">
      <c r="A23" s="436"/>
      <c r="B23" s="432" t="s">
        <v>161</v>
      </c>
      <c r="C23" s="433"/>
      <c r="D23" s="434"/>
      <c r="E23" s="435"/>
      <c r="F23" s="436"/>
      <c r="G23" s="436"/>
      <c r="H23" s="436"/>
      <c r="I23" s="436"/>
      <c r="J23" s="436"/>
      <c r="K23" s="436"/>
      <c r="L23" s="436"/>
      <c r="M23" s="436"/>
      <c r="N23" s="436"/>
      <c r="O23" s="436"/>
      <c r="P23" s="436"/>
      <c r="Q23" s="436"/>
      <c r="R23" s="436"/>
      <c r="S23" s="436"/>
      <c r="T23" s="436"/>
      <c r="U23" s="436"/>
      <c r="V23" s="436"/>
      <c r="W23" s="436"/>
      <c r="X23" s="436"/>
      <c r="Y23" s="436"/>
    </row>
    <row r="24" spans="1:25" s="346" customFormat="1" ht="18" x14ac:dyDescent="0.35">
      <c r="A24" s="436"/>
      <c r="B24" s="455" t="s">
        <v>241</v>
      </c>
      <c r="C24" s="440"/>
      <c r="D24" s="434"/>
      <c r="E24" s="435"/>
      <c r="F24" s="436"/>
      <c r="G24" s="436"/>
      <c r="H24" s="436"/>
      <c r="I24" s="436"/>
      <c r="J24" s="436"/>
      <c r="K24" s="436"/>
      <c r="L24" s="436"/>
      <c r="M24" s="436"/>
      <c r="N24" s="436"/>
      <c r="O24" s="436"/>
      <c r="P24" s="436"/>
      <c r="Q24" s="436"/>
      <c r="R24" s="436"/>
      <c r="S24" s="436"/>
      <c r="T24" s="436"/>
      <c r="U24" s="436"/>
      <c r="V24" s="436"/>
      <c r="W24" s="436"/>
      <c r="X24" s="436"/>
      <c r="Y24" s="436"/>
    </row>
    <row r="25" spans="1:25" s="346" customFormat="1" ht="18" x14ac:dyDescent="0.35">
      <c r="A25" s="436"/>
      <c r="B25" s="456" t="s">
        <v>47</v>
      </c>
      <c r="C25" s="457">
        <v>1</v>
      </c>
      <c r="D25" s="434"/>
      <c r="E25" s="435"/>
      <c r="F25" s="436"/>
      <c r="G25" s="436"/>
      <c r="H25" s="436"/>
      <c r="I25" s="436"/>
      <c r="J25" s="436"/>
      <c r="K25" s="436"/>
      <c r="L25" s="436"/>
      <c r="M25" s="436"/>
      <c r="N25" s="436"/>
      <c r="O25" s="436"/>
      <c r="P25" s="436"/>
      <c r="Q25" s="436"/>
      <c r="R25" s="436"/>
      <c r="S25" s="436"/>
      <c r="T25" s="436"/>
      <c r="U25" s="436"/>
      <c r="V25" s="436"/>
      <c r="W25" s="436"/>
      <c r="X25" s="436"/>
      <c r="Y25" s="436"/>
    </row>
    <row r="26" spans="1:25" s="346" customFormat="1" ht="18" x14ac:dyDescent="0.35">
      <c r="A26" s="436"/>
      <c r="B26" s="458" t="s">
        <v>48</v>
      </c>
      <c r="C26" s="459">
        <v>0</v>
      </c>
      <c r="D26" s="434"/>
      <c r="E26" s="435"/>
      <c r="F26" s="436"/>
      <c r="G26" s="436"/>
      <c r="H26" s="436"/>
      <c r="I26" s="436"/>
      <c r="J26" s="436"/>
      <c r="K26" s="436"/>
      <c r="L26" s="436"/>
      <c r="M26" s="436"/>
      <c r="N26" s="436"/>
      <c r="O26" s="436"/>
      <c r="P26" s="436"/>
      <c r="Q26" s="436"/>
      <c r="R26" s="436"/>
      <c r="S26" s="436"/>
      <c r="T26" s="436"/>
      <c r="U26" s="436"/>
      <c r="V26" s="436"/>
      <c r="W26" s="436"/>
      <c r="X26" s="436"/>
      <c r="Y26" s="436"/>
    </row>
    <row r="27" spans="1:25" s="436" customFormat="1" ht="18" x14ac:dyDescent="0.35">
      <c r="B27" s="464"/>
      <c r="C27" s="465"/>
      <c r="D27" s="434"/>
      <c r="E27" s="435"/>
    </row>
    <row r="28" spans="1:25" s="346" customFormat="1" ht="18" x14ac:dyDescent="0.35">
      <c r="A28" s="436"/>
      <c r="B28" s="439" t="s">
        <v>239</v>
      </c>
      <c r="C28" s="460"/>
      <c r="D28" s="434"/>
      <c r="E28" s="435"/>
      <c r="F28" s="436"/>
      <c r="G28" s="436"/>
      <c r="H28" s="436"/>
      <c r="I28" s="436"/>
      <c r="J28" s="436"/>
      <c r="K28" s="436"/>
      <c r="L28" s="436"/>
      <c r="M28" s="436"/>
      <c r="N28" s="436"/>
      <c r="O28" s="436"/>
      <c r="P28" s="436"/>
      <c r="Q28" s="436"/>
      <c r="R28" s="436"/>
      <c r="S28" s="436"/>
      <c r="T28" s="436"/>
      <c r="U28" s="436"/>
      <c r="V28" s="436"/>
      <c r="W28" s="436"/>
      <c r="X28" s="436"/>
      <c r="Y28" s="436"/>
    </row>
    <row r="29" spans="1:25" s="346" customFormat="1" ht="18" x14ac:dyDescent="0.35">
      <c r="A29" s="436"/>
      <c r="B29" s="461" t="s">
        <v>187</v>
      </c>
      <c r="C29" s="462"/>
      <c r="D29" s="434"/>
      <c r="E29" s="435"/>
      <c r="F29" s="436"/>
      <c r="G29" s="436"/>
      <c r="H29" s="436"/>
      <c r="I29" s="436"/>
      <c r="J29" s="436"/>
      <c r="K29" s="436"/>
      <c r="L29" s="436"/>
      <c r="M29" s="436"/>
      <c r="N29" s="436"/>
      <c r="O29" s="436"/>
      <c r="P29" s="436"/>
      <c r="Q29" s="436"/>
      <c r="R29" s="436"/>
      <c r="S29" s="436"/>
      <c r="T29" s="436"/>
      <c r="U29" s="436"/>
      <c r="V29" s="436"/>
      <c r="W29" s="436"/>
      <c r="X29" s="436"/>
      <c r="Y29" s="436"/>
    </row>
    <row r="30" spans="1:25" s="346" customFormat="1" ht="18" x14ac:dyDescent="0.35">
      <c r="A30" s="436"/>
      <c r="B30" s="461" t="s">
        <v>236</v>
      </c>
      <c r="C30" s="457">
        <v>1</v>
      </c>
      <c r="D30" s="434"/>
      <c r="E30" s="435"/>
      <c r="F30" s="436"/>
      <c r="G30" s="436"/>
      <c r="H30" s="436"/>
      <c r="I30" s="436"/>
      <c r="J30" s="436"/>
      <c r="K30" s="436"/>
      <c r="L30" s="436"/>
      <c r="M30" s="436"/>
      <c r="N30" s="436"/>
      <c r="O30" s="436"/>
      <c r="P30" s="436"/>
      <c r="Q30" s="436"/>
      <c r="R30" s="436"/>
      <c r="S30" s="436"/>
      <c r="T30" s="436"/>
      <c r="U30" s="436"/>
      <c r="V30" s="436"/>
      <c r="W30" s="436"/>
      <c r="X30" s="436"/>
      <c r="Y30" s="436"/>
    </row>
    <row r="31" spans="1:25" s="346" customFormat="1" ht="18" x14ac:dyDescent="0.35">
      <c r="A31" s="436"/>
      <c r="B31" s="463" t="s">
        <v>240</v>
      </c>
      <c r="C31" s="459">
        <v>0.5</v>
      </c>
      <c r="D31" s="434"/>
      <c r="E31" s="435"/>
      <c r="F31" s="436"/>
      <c r="G31" s="436"/>
      <c r="H31" s="436"/>
      <c r="I31" s="436"/>
      <c r="J31" s="436"/>
      <c r="K31" s="436"/>
      <c r="L31" s="436"/>
      <c r="M31" s="436"/>
      <c r="N31" s="436"/>
      <c r="O31" s="436"/>
      <c r="P31" s="436"/>
      <c r="Q31" s="436"/>
      <c r="R31" s="436"/>
      <c r="S31" s="436"/>
      <c r="T31" s="436"/>
      <c r="U31" s="436"/>
      <c r="V31" s="436"/>
      <c r="W31" s="436"/>
      <c r="X31" s="436"/>
      <c r="Y31" s="436"/>
    </row>
    <row r="32" spans="1:25" s="346" customFormat="1" ht="18" x14ac:dyDescent="0.35">
      <c r="A32" s="436"/>
      <c r="B32" s="437"/>
      <c r="C32" s="437"/>
      <c r="D32" s="434"/>
      <c r="E32" s="435"/>
      <c r="F32" s="436"/>
      <c r="G32" s="436"/>
      <c r="H32" s="436"/>
      <c r="I32" s="436"/>
      <c r="J32" s="436"/>
      <c r="K32" s="436"/>
      <c r="L32" s="436"/>
      <c r="M32" s="436"/>
      <c r="N32" s="436"/>
      <c r="O32" s="436"/>
      <c r="P32" s="436"/>
      <c r="Q32" s="436"/>
      <c r="R32" s="436"/>
      <c r="S32" s="436"/>
      <c r="T32" s="436"/>
      <c r="U32" s="436"/>
      <c r="V32" s="436"/>
      <c r="W32" s="436"/>
      <c r="X32" s="436"/>
      <c r="Y32" s="436"/>
    </row>
    <row r="33" spans="1:25" s="344" customFormat="1" ht="15.75" customHeight="1" x14ac:dyDescent="0.3">
      <c r="A33" s="442"/>
      <c r="B33" s="439" t="s">
        <v>242</v>
      </c>
      <c r="C33" s="440"/>
      <c r="D33" s="434"/>
      <c r="E33" s="441"/>
      <c r="F33" s="442"/>
      <c r="G33" s="442"/>
      <c r="H33" s="442"/>
      <c r="I33" s="442"/>
      <c r="J33" s="442"/>
      <c r="K33" s="442"/>
      <c r="L33" s="442"/>
      <c r="M33" s="442"/>
      <c r="N33" s="442"/>
      <c r="O33" s="442"/>
      <c r="P33" s="442"/>
      <c r="Q33" s="442"/>
      <c r="R33" s="442"/>
      <c r="S33" s="442"/>
      <c r="T33" s="442"/>
      <c r="U33" s="442"/>
      <c r="V33" s="442"/>
      <c r="W33" s="442"/>
      <c r="X33" s="442"/>
      <c r="Y33" s="442"/>
    </row>
    <row r="34" spans="1:25" s="344" customFormat="1" ht="15.6" x14ac:dyDescent="0.3">
      <c r="A34" s="442"/>
      <c r="B34" s="609" t="s">
        <v>243</v>
      </c>
      <c r="C34" s="610">
        <v>0</v>
      </c>
      <c r="D34" s="434"/>
      <c r="E34" s="441"/>
      <c r="F34" s="442"/>
      <c r="G34" s="442"/>
      <c r="H34" s="442"/>
      <c r="I34" s="442"/>
      <c r="J34" s="442"/>
      <c r="K34" s="442"/>
      <c r="L34" s="442"/>
      <c r="M34" s="442"/>
      <c r="N34" s="442"/>
      <c r="O34" s="442"/>
      <c r="P34" s="442"/>
      <c r="Q34" s="442"/>
      <c r="R34" s="442"/>
      <c r="S34" s="442"/>
      <c r="T34" s="442"/>
      <c r="U34" s="442"/>
      <c r="V34" s="442"/>
      <c r="W34" s="442"/>
      <c r="X34" s="442"/>
      <c r="Y34" s="442"/>
    </row>
    <row r="35" spans="1:25" s="344" customFormat="1" ht="15.6" x14ac:dyDescent="0.3">
      <c r="A35" s="442"/>
      <c r="B35" s="461" t="s">
        <v>244</v>
      </c>
      <c r="C35" s="457">
        <v>0.55000000000000004</v>
      </c>
      <c r="D35" s="443"/>
      <c r="E35" s="441"/>
      <c r="F35" s="442"/>
      <c r="G35" s="442"/>
      <c r="H35" s="442"/>
      <c r="I35" s="442"/>
      <c r="J35" s="442"/>
      <c r="K35" s="442"/>
      <c r="L35" s="442"/>
      <c r="M35" s="442"/>
      <c r="N35" s="442"/>
      <c r="O35" s="442"/>
      <c r="P35" s="442"/>
      <c r="Q35" s="442"/>
      <c r="R35" s="442"/>
      <c r="S35" s="442"/>
      <c r="T35" s="442"/>
      <c r="U35" s="442"/>
      <c r="V35" s="442"/>
      <c r="W35" s="442"/>
      <c r="X35" s="442"/>
      <c r="Y35" s="442"/>
    </row>
    <row r="36" spans="1:25" s="345" customFormat="1" ht="15.6" x14ac:dyDescent="0.3">
      <c r="A36" s="442"/>
      <c r="B36" s="463" t="s">
        <v>238</v>
      </c>
      <c r="C36" s="459">
        <v>1</v>
      </c>
      <c r="D36" s="443"/>
      <c r="E36" s="441"/>
      <c r="F36" s="442"/>
      <c r="G36" s="442"/>
      <c r="H36" s="442"/>
      <c r="I36" s="442"/>
      <c r="J36" s="442"/>
      <c r="K36" s="442"/>
      <c r="L36" s="442"/>
      <c r="M36" s="442"/>
      <c r="N36" s="442"/>
      <c r="O36" s="442"/>
      <c r="P36" s="442"/>
      <c r="Q36" s="442"/>
      <c r="R36" s="442"/>
      <c r="S36" s="442"/>
      <c r="T36" s="442"/>
      <c r="U36" s="442"/>
      <c r="V36" s="442"/>
      <c r="W36" s="442"/>
      <c r="X36" s="442"/>
      <c r="Y36" s="442"/>
    </row>
    <row r="37" spans="1:25" s="442" customFormat="1" ht="15.6" x14ac:dyDescent="0.3">
      <c r="B37" s="437"/>
      <c r="C37" s="437"/>
      <c r="D37" s="443"/>
      <c r="E37" s="441"/>
    </row>
    <row r="38" spans="1:25" ht="26.25" customHeight="1" x14ac:dyDescent="0.3">
      <c r="B38" s="28" t="s">
        <v>78</v>
      </c>
      <c r="C38" s="454"/>
      <c r="D38" s="443"/>
      <c r="E38" s="441"/>
    </row>
    <row r="39" spans="1:25" x14ac:dyDescent="0.3">
      <c r="B39" s="30" t="s">
        <v>47</v>
      </c>
      <c r="C39" s="254">
        <v>0.02</v>
      </c>
      <c r="D39" s="443"/>
      <c r="E39" s="441"/>
    </row>
    <row r="40" spans="1:25" x14ac:dyDescent="0.3">
      <c r="B40" s="218" t="s">
        <v>48</v>
      </c>
      <c r="C40" s="255">
        <v>0</v>
      </c>
      <c r="D40" s="443"/>
      <c r="E40" s="441"/>
    </row>
    <row r="41" spans="1:25" s="197" customFormat="1" x14ac:dyDescent="0.3">
      <c r="A41" s="442"/>
      <c r="B41" s="249"/>
      <c r="C41" s="250"/>
      <c r="D41" s="443"/>
      <c r="E41" s="441"/>
      <c r="F41" s="442"/>
      <c r="G41" s="442"/>
      <c r="H41" s="442"/>
      <c r="I41" s="442"/>
      <c r="J41" s="442"/>
      <c r="K41" s="442"/>
      <c r="L41" s="442"/>
      <c r="M41" s="442"/>
      <c r="N41" s="442"/>
      <c r="O41" s="442"/>
      <c r="P41" s="442"/>
      <c r="Q41" s="442"/>
      <c r="R41" s="442"/>
      <c r="S41" s="442"/>
      <c r="T41" s="442"/>
      <c r="U41" s="442"/>
      <c r="V41" s="442"/>
      <c r="W41" s="442"/>
      <c r="X41" s="442"/>
      <c r="Y41" s="442"/>
    </row>
    <row r="42" spans="1:25" x14ac:dyDescent="0.3">
      <c r="B42" s="28" t="s">
        <v>232</v>
      </c>
      <c r="C42" s="219"/>
      <c r="D42" s="438"/>
      <c r="E42" s="441"/>
    </row>
    <row r="43" spans="1:25" x14ac:dyDescent="0.3">
      <c r="B43" s="30" t="s">
        <v>47</v>
      </c>
      <c r="C43" s="52">
        <v>1</v>
      </c>
      <c r="D43" s="598"/>
      <c r="E43" s="441"/>
    </row>
    <row r="44" spans="1:25" x14ac:dyDescent="0.3">
      <c r="B44" s="218" t="s">
        <v>48</v>
      </c>
      <c r="C44" s="53">
        <v>0</v>
      </c>
      <c r="D44" s="598"/>
      <c r="E44" s="441"/>
    </row>
    <row r="45" spans="1:25" s="197" customFormat="1" x14ac:dyDescent="0.3">
      <c r="A45" s="442"/>
      <c r="B45" s="249"/>
      <c r="C45" s="251"/>
      <c r="D45" s="510"/>
      <c r="E45" s="450"/>
      <c r="F45" s="442"/>
      <c r="G45" s="442"/>
      <c r="H45" s="442"/>
      <c r="I45" s="442"/>
      <c r="J45" s="442"/>
      <c r="K45" s="442"/>
      <c r="L45" s="442"/>
      <c r="M45" s="442"/>
      <c r="N45" s="442"/>
      <c r="O45" s="442"/>
      <c r="P45" s="442"/>
      <c r="Q45" s="442"/>
      <c r="R45" s="442"/>
      <c r="S45" s="442"/>
      <c r="T45" s="442"/>
      <c r="U45" s="442"/>
      <c r="V45" s="442"/>
      <c r="W45" s="442"/>
      <c r="X45" s="442"/>
      <c r="Y45" s="442"/>
    </row>
    <row r="46" spans="1:25" x14ac:dyDescent="0.3">
      <c r="B46" s="611" t="s">
        <v>231</v>
      </c>
      <c r="C46" s="612"/>
      <c r="D46" s="438"/>
      <c r="E46" s="450"/>
    </row>
    <row r="47" spans="1:25" x14ac:dyDescent="0.3">
      <c r="B47" s="36" t="s">
        <v>47</v>
      </c>
      <c r="C47" s="37">
        <v>1</v>
      </c>
      <c r="D47" s="438"/>
      <c r="E47" s="450"/>
    </row>
    <row r="48" spans="1:25" x14ac:dyDescent="0.3">
      <c r="B48" s="34" t="s">
        <v>48</v>
      </c>
      <c r="C48" s="38">
        <v>0</v>
      </c>
      <c r="D48" s="438"/>
      <c r="E48" s="450"/>
    </row>
    <row r="49" spans="1:25" s="197" customFormat="1" x14ac:dyDescent="0.3">
      <c r="A49" s="442"/>
      <c r="B49" s="252"/>
      <c r="C49" s="253"/>
      <c r="D49" s="438"/>
      <c r="E49" s="452"/>
      <c r="F49" s="442"/>
      <c r="G49" s="442"/>
      <c r="H49" s="442"/>
      <c r="I49" s="442"/>
      <c r="J49" s="442"/>
      <c r="K49" s="442"/>
      <c r="L49" s="442"/>
      <c r="M49" s="442"/>
      <c r="N49" s="442"/>
      <c r="O49" s="442"/>
      <c r="P49" s="442"/>
      <c r="Q49" s="442"/>
      <c r="R49" s="442"/>
      <c r="S49" s="442"/>
      <c r="T49" s="442"/>
      <c r="U49" s="442"/>
      <c r="V49" s="442"/>
      <c r="W49" s="442"/>
      <c r="X49" s="442"/>
      <c r="Y49" s="442"/>
    </row>
    <row r="50" spans="1:25" x14ac:dyDescent="0.3">
      <c r="B50" s="28" t="s">
        <v>46</v>
      </c>
      <c r="C50" s="613"/>
      <c r="D50" s="443"/>
      <c r="E50" s="441"/>
    </row>
    <row r="51" spans="1:25" x14ac:dyDescent="0.3">
      <c r="B51" s="30" t="s">
        <v>47</v>
      </c>
      <c r="C51" s="39">
        <v>1</v>
      </c>
      <c r="D51" s="443"/>
      <c r="E51" s="441"/>
    </row>
    <row r="52" spans="1:25" x14ac:dyDescent="0.3">
      <c r="B52" s="218" t="s">
        <v>48</v>
      </c>
      <c r="C52" s="40">
        <v>0</v>
      </c>
      <c r="D52" s="443"/>
      <c r="E52" s="441"/>
    </row>
    <row r="53" spans="1:25" s="197" customFormat="1" x14ac:dyDescent="0.3">
      <c r="A53" s="442"/>
      <c r="B53" s="249"/>
      <c r="C53" s="251"/>
      <c r="D53" s="510"/>
      <c r="E53" s="450"/>
      <c r="F53" s="442"/>
      <c r="G53" s="442"/>
      <c r="H53" s="442"/>
      <c r="I53" s="442"/>
      <c r="J53" s="442"/>
      <c r="K53" s="442"/>
      <c r="L53" s="442"/>
      <c r="M53" s="442"/>
      <c r="N53" s="442"/>
      <c r="O53" s="442"/>
      <c r="P53" s="442"/>
      <c r="Q53" s="442"/>
      <c r="R53" s="442"/>
      <c r="S53" s="442"/>
      <c r="T53" s="442"/>
      <c r="U53" s="442"/>
      <c r="V53" s="442"/>
      <c r="W53" s="442"/>
      <c r="X53" s="442"/>
      <c r="Y53" s="442"/>
    </row>
    <row r="54" spans="1:25" x14ac:dyDescent="0.3">
      <c r="B54" s="611" t="s">
        <v>64</v>
      </c>
      <c r="C54" s="614"/>
      <c r="D54" s="438"/>
      <c r="E54" s="450"/>
    </row>
    <row r="55" spans="1:25" x14ac:dyDescent="0.3">
      <c r="B55" s="36" t="s">
        <v>47</v>
      </c>
      <c r="C55" s="49">
        <v>1</v>
      </c>
      <c r="D55" s="438"/>
      <c r="E55" s="450"/>
    </row>
    <row r="56" spans="1:25" x14ac:dyDescent="0.3">
      <c r="B56" s="34" t="s">
        <v>48</v>
      </c>
      <c r="C56" s="35">
        <v>0</v>
      </c>
      <c r="D56" s="438"/>
      <c r="E56" s="450"/>
    </row>
    <row r="57" spans="1:25" s="442" customFormat="1" x14ac:dyDescent="0.3">
      <c r="B57" s="466"/>
      <c r="C57" s="467"/>
      <c r="D57" s="438"/>
      <c r="E57" s="452"/>
    </row>
    <row r="58" spans="1:25" x14ac:dyDescent="0.3">
      <c r="B58" s="28" t="s">
        <v>69</v>
      </c>
      <c r="C58" s="220"/>
      <c r="D58" s="438"/>
      <c r="E58" s="450"/>
    </row>
    <row r="59" spans="1:25" x14ac:dyDescent="0.3">
      <c r="B59" s="30" t="s">
        <v>67</v>
      </c>
      <c r="C59" s="221">
        <v>0.25</v>
      </c>
      <c r="D59" s="438"/>
      <c r="E59" s="450"/>
    </row>
    <row r="60" spans="1:25" x14ac:dyDescent="0.3">
      <c r="B60" s="33" t="s">
        <v>65</v>
      </c>
      <c r="C60" s="222">
        <v>0.5</v>
      </c>
      <c r="D60" s="438"/>
      <c r="E60" s="450"/>
    </row>
    <row r="61" spans="1:25" x14ac:dyDescent="0.3">
      <c r="B61" s="33" t="s">
        <v>66</v>
      </c>
      <c r="C61" s="222">
        <v>0.75</v>
      </c>
      <c r="D61" s="438"/>
      <c r="E61" s="450"/>
    </row>
    <row r="62" spans="1:25" x14ac:dyDescent="0.3">
      <c r="B62" s="34" t="s">
        <v>68</v>
      </c>
      <c r="C62" s="223">
        <v>1</v>
      </c>
      <c r="D62" s="438"/>
      <c r="E62" s="450"/>
    </row>
    <row r="63" spans="1:25" x14ac:dyDescent="0.3">
      <c r="B63" s="41"/>
      <c r="C63" s="207"/>
      <c r="D63" s="438"/>
      <c r="E63" s="450"/>
    </row>
    <row r="64" spans="1:25" x14ac:dyDescent="0.3">
      <c r="B64" s="41"/>
      <c r="C64" s="207"/>
      <c r="D64" s="438"/>
      <c r="E64" s="450"/>
    </row>
    <row r="65" spans="2:5" x14ac:dyDescent="0.3">
      <c r="B65" s="182"/>
      <c r="C65" s="182"/>
      <c r="D65" s="438"/>
      <c r="E65" s="450"/>
    </row>
  </sheetData>
  <sheetProtection algorithmName="SHA-512" hashValue="i/zKrZ91BurYwsyxKXQELIXj6XmRfyCfD2mktzib75+/Xw/pqGqO5YdkV/xI8XZTuB3dcOTau7FZpqePJ20goQ==" saltValue="8ZD1+Qs2+PemVj85tObedw==" spinCount="100000" sheet="1" objects="1" scenarios="1"/>
  <conditionalFormatting sqref="C10:C11">
    <cfRule type="expression" dxfId="21" priority="3">
      <formula>$C$9="no"</formula>
    </cfRule>
  </conditionalFormatting>
  <conditionalFormatting sqref="C14:C18">
    <cfRule type="expression" dxfId="20" priority="2">
      <formula>$C$12="no"</formula>
    </cfRule>
  </conditionalFormatting>
  <conditionalFormatting sqref="C9:C18">
    <cfRule type="expression" dxfId="19" priority="1">
      <formula>$C$8="Yes"</formula>
    </cfRule>
  </conditionalFormatting>
  <dataValidations count="4">
    <dataValidation type="list" showInputMessage="1" showErrorMessage="1" sqref="C18" xr:uid="{00000000-0002-0000-0200-000000000000}">
      <formula1>"&lt;25%, 25-49%, 50-74%, 75% or greater"</formula1>
    </dataValidation>
    <dataValidation type="list" allowBlank="1" showInputMessage="1" showErrorMessage="1" sqref="C8:C9 C12 C14:C17" xr:uid="{00000000-0002-0000-0200-000001000000}">
      <formula1>"Yes, No"</formula1>
    </dataValidation>
    <dataValidation type="list" allowBlank="1" showInputMessage="1" showErrorMessage="1" sqref="C11" xr:uid="{00000000-0002-0000-0200-000002000000}">
      <formula1>$B$34:$B$36</formula1>
    </dataValidation>
    <dataValidation type="list" allowBlank="1" showInputMessage="1" showErrorMessage="1" sqref="C10" xr:uid="{00000000-0002-0000-0200-000003000000}">
      <formula1>$B$29:$B$31</formula1>
    </dataValidation>
  </dataValidations>
  <pageMargins left="0.7" right="0.7" top="0.75" bottom="0.75" header="0.3" footer="0.3"/>
  <pageSetup orientation="portrait" horizontalDpi="525" verticalDpi="52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6" tint="-0.249977111117893"/>
    <pageSetUpPr fitToPage="1"/>
  </sheetPr>
  <dimension ref="A1:AN163"/>
  <sheetViews>
    <sheetView zoomScale="80" zoomScaleNormal="80" workbookViewId="0">
      <selection activeCell="C7" sqref="C7"/>
    </sheetView>
  </sheetViews>
  <sheetFormatPr defaultColWidth="9.109375" defaultRowHeight="14.4" x14ac:dyDescent="0.3"/>
  <cols>
    <col min="1" max="1" width="4.6640625" style="438" customWidth="1"/>
    <col min="2" max="2" width="76.5546875" style="182" customWidth="1"/>
    <col min="3" max="3" width="32.44140625" style="182" customWidth="1"/>
    <col min="4" max="4" width="10" style="182" customWidth="1"/>
    <col min="5" max="5" width="17" style="182" customWidth="1"/>
    <col min="6" max="6" width="6.109375" style="182" customWidth="1"/>
    <col min="7" max="7" width="9.109375" style="438" customWidth="1"/>
    <col min="8" max="8" width="15.109375" style="438" customWidth="1"/>
    <col min="9" max="9" width="20.88671875" style="453" customWidth="1"/>
    <col min="10" max="10" width="8.109375" style="438" customWidth="1"/>
    <col min="11" max="11" width="13" style="438" customWidth="1"/>
    <col min="12" max="12" width="4.88671875" style="438" customWidth="1"/>
    <col min="13" max="13" width="5.109375" style="438" customWidth="1"/>
    <col min="14" max="14" width="4" style="438" customWidth="1"/>
    <col min="15" max="15" width="5.44140625" style="438" customWidth="1"/>
    <col min="16" max="16" width="60" style="438" customWidth="1"/>
    <col min="17" max="17" width="29.44140625" style="438" customWidth="1"/>
    <col min="18" max="18" width="19.33203125" style="438" customWidth="1"/>
    <col min="19" max="19" width="18.109375" style="438" customWidth="1"/>
    <col min="20" max="20" width="9.109375" style="438"/>
    <col min="21" max="21" width="12" style="438" customWidth="1"/>
    <col min="22" max="22" width="15.109375" style="438" customWidth="1"/>
    <col min="23" max="23" width="17.6640625" style="438" customWidth="1"/>
    <col min="24" max="32" width="9.109375" style="438"/>
    <col min="33" max="16384" width="9.109375" style="182"/>
  </cols>
  <sheetData>
    <row r="1" spans="1:13" s="438" customFormat="1" x14ac:dyDescent="0.3">
      <c r="B1" s="476"/>
      <c r="I1" s="453"/>
    </row>
    <row r="2" spans="1:13" ht="18" x14ac:dyDescent="0.35">
      <c r="B2" s="184" t="s">
        <v>58</v>
      </c>
      <c r="C2" s="27"/>
      <c r="D2" s="26"/>
      <c r="E2" s="26"/>
      <c r="F2" s="27"/>
      <c r="H2" s="502"/>
    </row>
    <row r="3" spans="1:13" ht="15.6" x14ac:dyDescent="0.3">
      <c r="B3" s="224" t="s">
        <v>156</v>
      </c>
      <c r="C3" s="171"/>
      <c r="D3" s="174"/>
      <c r="E3" s="171"/>
      <c r="F3" s="172"/>
      <c r="H3" s="606"/>
    </row>
    <row r="4" spans="1:13" ht="19.5" customHeight="1" x14ac:dyDescent="0.3">
      <c r="B4" s="225" t="s">
        <v>42</v>
      </c>
      <c r="C4" s="226"/>
      <c r="D4" s="227"/>
      <c r="E4" s="228"/>
      <c r="F4" s="229"/>
      <c r="H4" s="606"/>
    </row>
    <row r="5" spans="1:13" ht="15.6" x14ac:dyDescent="0.3">
      <c r="A5" s="477"/>
      <c r="B5" s="170" t="s">
        <v>199</v>
      </c>
      <c r="C5" s="226"/>
      <c r="D5" s="227"/>
      <c r="E5" s="228"/>
      <c r="F5" s="229"/>
      <c r="H5" s="606"/>
      <c r="L5" s="446"/>
      <c r="M5" s="446"/>
    </row>
    <row r="6" spans="1:13" ht="18" customHeight="1" x14ac:dyDescent="0.3">
      <c r="A6" s="477"/>
      <c r="B6" s="170" t="s">
        <v>175</v>
      </c>
      <c r="C6" s="226" t="s">
        <v>75</v>
      </c>
      <c r="D6" s="412">
        <f>VLOOKUP(C6,B21:C24,2,0)</f>
        <v>1</v>
      </c>
      <c r="E6" s="413"/>
      <c r="F6" s="414"/>
      <c r="H6" s="606"/>
      <c r="L6" s="446"/>
      <c r="M6" s="446"/>
    </row>
    <row r="7" spans="1:13" ht="15.6" x14ac:dyDescent="0.3">
      <c r="A7" s="477"/>
      <c r="B7" s="170" t="s">
        <v>259</v>
      </c>
      <c r="C7" s="258"/>
      <c r="D7" s="388"/>
      <c r="E7" s="389" t="s">
        <v>85</v>
      </c>
      <c r="F7" s="415">
        <f>IF(OR(C16=0),0,IF(C6="functional travel corridor", D8, IF(C6="roosting &amp; foraging + corridor",C7+D8+C9,C7)))</f>
        <v>0</v>
      </c>
      <c r="H7" s="443"/>
      <c r="L7" s="446"/>
      <c r="M7" s="446"/>
    </row>
    <row r="8" spans="1:13" ht="15.6" x14ac:dyDescent="0.3">
      <c r="A8" s="431"/>
      <c r="B8" s="608" t="s">
        <v>260</v>
      </c>
      <c r="C8" s="258">
        <v>90</v>
      </c>
      <c r="D8" s="416">
        <f>IF(C8=0,0,10)</f>
        <v>10</v>
      </c>
      <c r="E8" s="389"/>
      <c r="F8" s="417"/>
      <c r="H8" s="503"/>
      <c r="L8" s="446"/>
      <c r="M8" s="446"/>
    </row>
    <row r="9" spans="1:13" ht="16.5" customHeight="1" x14ac:dyDescent="0.3">
      <c r="A9" s="431"/>
      <c r="B9" s="608" t="s">
        <v>261</v>
      </c>
      <c r="C9" s="261">
        <v>46</v>
      </c>
      <c r="D9" s="416">
        <f>IF(C9=0,0,C9)</f>
        <v>46</v>
      </c>
      <c r="E9" s="418"/>
      <c r="F9" s="419"/>
      <c r="L9" s="448"/>
      <c r="M9" s="448"/>
    </row>
    <row r="10" spans="1:13" ht="15.6" x14ac:dyDescent="0.3">
      <c r="A10" s="478"/>
      <c r="B10" s="173" t="s">
        <v>147</v>
      </c>
      <c r="C10" s="230"/>
      <c r="D10" s="420">
        <f>IF(C6=B23,D12*D13*D14,IF(C6=B22,D11*D12*D13*D14,D11))</f>
        <v>1</v>
      </c>
      <c r="E10" s="618" t="str">
        <f>IF(C6=B23,"",IF(D10=0,"Not Valid","implies "&amp;ROUND(46/(D10),0)&amp;" acres/bat"))</f>
        <v>implies 46 acres/bat</v>
      </c>
      <c r="F10" s="619"/>
      <c r="H10" s="504"/>
      <c r="L10" s="448"/>
      <c r="M10" s="448"/>
    </row>
    <row r="11" spans="1:13" ht="18" customHeight="1" x14ac:dyDescent="0.3">
      <c r="B11" s="262" t="s">
        <v>249</v>
      </c>
      <c r="C11" s="319" t="s">
        <v>47</v>
      </c>
      <c r="D11" s="421">
        <f>VLOOKUP(C11,B31:C32,2,0)</f>
        <v>1</v>
      </c>
      <c r="E11" s="422"/>
      <c r="F11" s="414"/>
      <c r="H11" s="505"/>
      <c r="L11" s="448"/>
      <c r="M11" s="448"/>
    </row>
    <row r="12" spans="1:13" ht="17.25" customHeight="1" x14ac:dyDescent="0.3">
      <c r="A12" s="431"/>
      <c r="B12" s="225" t="s">
        <v>262</v>
      </c>
      <c r="C12" s="319" t="s">
        <v>47</v>
      </c>
      <c r="D12" s="423">
        <f>VLOOKUP(C12,B27:C28,2,0)</f>
        <v>1</v>
      </c>
      <c r="E12" s="424"/>
      <c r="F12" s="414"/>
      <c r="H12" s="443"/>
      <c r="L12" s="448"/>
      <c r="M12" s="448"/>
    </row>
    <row r="13" spans="1:13" ht="17.25" customHeight="1" x14ac:dyDescent="0.3">
      <c r="A13" s="431"/>
      <c r="B13" s="225" t="s">
        <v>258</v>
      </c>
      <c r="C13" s="319" t="s">
        <v>47</v>
      </c>
      <c r="D13" s="423">
        <f>IF(C13="yes",1,0)</f>
        <v>1</v>
      </c>
      <c r="E13" s="424"/>
      <c r="F13" s="414"/>
      <c r="H13" s="443"/>
      <c r="L13" s="448"/>
      <c r="M13" s="448"/>
    </row>
    <row r="14" spans="1:13" ht="17.25" customHeight="1" x14ac:dyDescent="0.3">
      <c r="A14" s="431"/>
      <c r="B14" s="390" t="s">
        <v>250</v>
      </c>
      <c r="C14" s="391" t="s">
        <v>47</v>
      </c>
      <c r="D14" s="425">
        <f>IF(C14="yes",1,0)</f>
        <v>1</v>
      </c>
      <c r="E14" s="426"/>
      <c r="F14" s="427"/>
      <c r="H14" s="443"/>
      <c r="I14" s="447"/>
      <c r="L14" s="448"/>
      <c r="M14" s="448"/>
    </row>
    <row r="15" spans="1:13" ht="15.6" x14ac:dyDescent="0.3">
      <c r="A15" s="431"/>
      <c r="B15" s="328" t="s">
        <v>43</v>
      </c>
      <c r="C15" s="565" t="s">
        <v>256</v>
      </c>
      <c r="D15" s="567">
        <f>VLOOKUP(C15,B35:C36,2,0)</f>
        <v>1</v>
      </c>
      <c r="E15" s="566"/>
      <c r="F15" s="427"/>
      <c r="H15" s="443"/>
      <c r="L15" s="447"/>
      <c r="M15" s="447"/>
    </row>
    <row r="16" spans="1:13" ht="15.6" x14ac:dyDescent="0.3">
      <c r="B16" s="562" t="s">
        <v>72</v>
      </c>
      <c r="C16" s="582">
        <f>F16</f>
        <v>0</v>
      </c>
      <c r="D16" s="563"/>
      <c r="E16" s="564" t="s">
        <v>73</v>
      </c>
      <c r="F16" s="568">
        <f>IF(D15=0,0,IF(OR(C6=B21,C6=B24),(C7/46*D6*D10),IF(C6=B22,((D8+D9+C7)/46*D6*D10),D8/46*D6*D10)))</f>
        <v>0</v>
      </c>
      <c r="H16" s="446"/>
      <c r="L16" s="448"/>
    </row>
    <row r="17" spans="1:35" s="438" customFormat="1" x14ac:dyDescent="0.3">
      <c r="A17" s="431"/>
      <c r="B17" s="480"/>
      <c r="I17" s="453"/>
      <c r="L17" s="448"/>
      <c r="M17" s="448"/>
    </row>
    <row r="18" spans="1:35" s="438" customFormat="1" x14ac:dyDescent="0.3">
      <c r="I18" s="453"/>
      <c r="L18" s="448"/>
      <c r="M18" s="448"/>
    </row>
    <row r="19" spans="1:35" ht="18" x14ac:dyDescent="0.35">
      <c r="B19" s="264" t="s">
        <v>155</v>
      </c>
      <c r="C19" s="260"/>
      <c r="D19" s="438"/>
      <c r="E19" s="481"/>
      <c r="F19" s="482"/>
      <c r="G19" s="482"/>
      <c r="L19" s="447"/>
    </row>
    <row r="20" spans="1:35" x14ac:dyDescent="0.3">
      <c r="B20" s="51" t="s">
        <v>71</v>
      </c>
      <c r="C20" s="231"/>
      <c r="D20" s="446"/>
      <c r="E20" s="451"/>
      <c r="F20" s="451"/>
      <c r="G20" s="451"/>
      <c r="H20" s="450"/>
      <c r="L20" s="448"/>
    </row>
    <row r="21" spans="1:35" x14ac:dyDescent="0.3">
      <c r="B21" s="225" t="s">
        <v>75</v>
      </c>
      <c r="C21" s="232">
        <v>1</v>
      </c>
      <c r="D21" s="446"/>
      <c r="E21" s="483"/>
      <c r="F21" s="483"/>
      <c r="G21" s="483"/>
      <c r="H21" s="483"/>
      <c r="L21" s="448"/>
    </row>
    <row r="22" spans="1:35" x14ac:dyDescent="0.3">
      <c r="B22" s="225" t="s">
        <v>107</v>
      </c>
      <c r="C22" s="232">
        <v>1</v>
      </c>
      <c r="D22" s="446"/>
      <c r="E22" s="483"/>
      <c r="F22" s="483"/>
      <c r="G22" s="483"/>
      <c r="H22" s="506"/>
      <c r="L22" s="448"/>
    </row>
    <row r="23" spans="1:35" ht="18" customHeight="1" x14ac:dyDescent="0.3">
      <c r="B23" s="225" t="s">
        <v>84</v>
      </c>
      <c r="C23" s="232">
        <v>1</v>
      </c>
      <c r="D23" s="438"/>
      <c r="E23" s="484"/>
      <c r="F23" s="484"/>
      <c r="G23" s="484"/>
      <c r="H23" s="507"/>
      <c r="L23" s="448"/>
      <c r="AI23" s="200"/>
    </row>
    <row r="24" spans="1:35" s="41" customFormat="1" x14ac:dyDescent="0.3">
      <c r="A24" s="443"/>
      <c r="B24" s="247" t="s">
        <v>248</v>
      </c>
      <c r="C24" s="248">
        <v>0.75</v>
      </c>
      <c r="D24" s="443"/>
      <c r="E24" s="485"/>
      <c r="F24" s="485"/>
      <c r="G24" s="485"/>
      <c r="H24" s="443"/>
      <c r="I24" s="508"/>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I24" s="246"/>
    </row>
    <row r="25" spans="1:35" s="243" customFormat="1" x14ac:dyDescent="0.3">
      <c r="A25" s="479"/>
      <c r="B25" s="244"/>
      <c r="C25" s="245"/>
      <c r="D25" s="479"/>
      <c r="E25" s="486"/>
      <c r="F25" s="486"/>
      <c r="G25" s="486"/>
      <c r="H25" s="506"/>
      <c r="I25" s="50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row>
    <row r="26" spans="1:35" s="129" customFormat="1" x14ac:dyDescent="0.3">
      <c r="A26" s="479"/>
      <c r="B26" s="51" t="s">
        <v>108</v>
      </c>
      <c r="C26" s="130"/>
      <c r="D26" s="479"/>
      <c r="E26" s="483"/>
      <c r="F26" s="486"/>
      <c r="G26" s="486"/>
      <c r="H26" s="486"/>
      <c r="I26" s="50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row>
    <row r="27" spans="1:35" s="129" customFormat="1" x14ac:dyDescent="0.3">
      <c r="A27" s="479"/>
      <c r="B27" s="131" t="s">
        <v>47</v>
      </c>
      <c r="C27" s="387">
        <v>1</v>
      </c>
      <c r="D27" s="438"/>
      <c r="E27" s="483"/>
      <c r="F27" s="486"/>
      <c r="G27" s="486"/>
      <c r="H27" s="486"/>
      <c r="I27" s="50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row>
    <row r="28" spans="1:35" x14ac:dyDescent="0.3">
      <c r="B28" s="233" t="s">
        <v>48</v>
      </c>
      <c r="C28" s="511">
        <v>0</v>
      </c>
      <c r="D28" s="438"/>
      <c r="E28" s="450"/>
      <c r="F28" s="450"/>
      <c r="G28" s="483"/>
      <c r="H28" s="483"/>
    </row>
    <row r="29" spans="1:35" s="196" customFormat="1" x14ac:dyDescent="0.3">
      <c r="A29" s="438"/>
      <c r="B29" s="237"/>
      <c r="C29" s="512"/>
      <c r="D29" s="438"/>
      <c r="E29" s="450"/>
      <c r="F29" s="450"/>
      <c r="G29" s="483"/>
      <c r="H29" s="483"/>
      <c r="I29" s="453"/>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row>
    <row r="30" spans="1:35" s="41" customFormat="1" ht="15.6" x14ac:dyDescent="0.3">
      <c r="A30" s="443"/>
      <c r="B30" s="256" t="s">
        <v>160</v>
      </c>
      <c r="C30" s="513"/>
      <c r="D30" s="443"/>
      <c r="E30" s="487"/>
      <c r="F30" s="487"/>
      <c r="G30" s="485"/>
      <c r="H30" s="485"/>
      <c r="I30" s="508"/>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row>
    <row r="31" spans="1:35" ht="15.6" x14ac:dyDescent="0.3">
      <c r="B31" s="225" t="s">
        <v>47</v>
      </c>
      <c r="C31" s="232">
        <v>1</v>
      </c>
      <c r="D31" s="438"/>
      <c r="E31" s="488"/>
      <c r="F31" s="488"/>
      <c r="G31" s="483"/>
      <c r="H31" s="483"/>
    </row>
    <row r="32" spans="1:35" x14ac:dyDescent="0.3">
      <c r="B32" s="233" t="s">
        <v>48</v>
      </c>
      <c r="C32" s="511">
        <v>0</v>
      </c>
      <c r="D32" s="438"/>
      <c r="E32" s="483"/>
      <c r="F32" s="483"/>
      <c r="G32" s="450"/>
      <c r="H32" s="450"/>
    </row>
    <row r="33" spans="1:40" s="196" customFormat="1" ht="15.6" x14ac:dyDescent="0.3">
      <c r="A33" s="438"/>
      <c r="C33" s="512"/>
      <c r="D33" s="438"/>
      <c r="E33" s="450"/>
      <c r="F33" s="450"/>
      <c r="G33" s="488"/>
      <c r="H33" s="488"/>
      <c r="I33" s="453"/>
      <c r="J33" s="438"/>
      <c r="K33" s="438"/>
      <c r="L33" s="446"/>
      <c r="M33" s="446"/>
      <c r="N33" s="438"/>
      <c r="O33" s="438"/>
      <c r="P33" s="438"/>
      <c r="Q33" s="438"/>
      <c r="R33" s="438"/>
      <c r="S33" s="438"/>
      <c r="T33" s="438"/>
      <c r="U33" s="438"/>
      <c r="V33" s="438"/>
      <c r="W33" s="438"/>
      <c r="X33" s="438"/>
      <c r="Y33" s="438"/>
      <c r="Z33" s="438"/>
      <c r="AA33" s="438"/>
      <c r="AB33" s="438"/>
      <c r="AC33" s="438"/>
      <c r="AD33" s="438"/>
      <c r="AE33" s="438"/>
      <c r="AF33" s="438"/>
    </row>
    <row r="34" spans="1:40" ht="15.6" x14ac:dyDescent="0.3">
      <c r="B34" s="256" t="s">
        <v>255</v>
      </c>
      <c r="C34" s="514"/>
      <c r="D34" s="438"/>
      <c r="E34" s="488"/>
      <c r="F34" s="488"/>
      <c r="G34" s="488"/>
      <c r="H34" s="488"/>
      <c r="L34" s="446"/>
      <c r="M34" s="446"/>
    </row>
    <row r="35" spans="1:40" ht="15.6" x14ac:dyDescent="0.3">
      <c r="B35" s="131" t="s">
        <v>256</v>
      </c>
      <c r="C35" s="387">
        <v>1</v>
      </c>
      <c r="D35" s="446"/>
      <c r="E35" s="489"/>
      <c r="F35" s="488"/>
      <c r="G35" s="488"/>
      <c r="H35" s="488"/>
      <c r="L35" s="446"/>
      <c r="M35" s="446"/>
    </row>
    <row r="36" spans="1:40" ht="15.6" x14ac:dyDescent="0.3">
      <c r="B36" s="247" t="s">
        <v>257</v>
      </c>
      <c r="C36" s="248">
        <v>0</v>
      </c>
      <c r="D36" s="490"/>
      <c r="E36" s="489"/>
      <c r="F36" s="488"/>
      <c r="G36" s="488"/>
      <c r="H36" s="488"/>
      <c r="L36" s="446"/>
      <c r="M36" s="446"/>
      <c r="AN36" s="194"/>
    </row>
    <row r="37" spans="1:40" s="438" customFormat="1" x14ac:dyDescent="0.3">
      <c r="B37" s="493"/>
      <c r="E37" s="431"/>
      <c r="F37" s="431"/>
      <c r="G37" s="431"/>
      <c r="H37" s="431"/>
      <c r="I37" s="453"/>
      <c r="L37" s="446"/>
      <c r="M37" s="446"/>
      <c r="N37" s="431"/>
    </row>
    <row r="38" spans="1:40" s="438" customFormat="1" x14ac:dyDescent="0.3">
      <c r="B38" s="493"/>
      <c r="E38" s="431"/>
      <c r="F38" s="431"/>
      <c r="G38" s="431"/>
      <c r="H38" s="431"/>
      <c r="I38" s="453"/>
      <c r="L38" s="446"/>
      <c r="M38" s="446"/>
    </row>
    <row r="39" spans="1:40" s="438" customFormat="1" x14ac:dyDescent="0.3">
      <c r="E39" s="431"/>
      <c r="F39" s="431"/>
      <c r="G39" s="431"/>
      <c r="H39" s="431"/>
      <c r="I39" s="453"/>
    </row>
    <row r="40" spans="1:40" s="438" customFormat="1" ht="15.6" x14ac:dyDescent="0.3">
      <c r="E40" s="492"/>
      <c r="F40" s="431"/>
      <c r="G40" s="431"/>
      <c r="H40" s="431"/>
      <c r="I40" s="453"/>
    </row>
    <row r="41" spans="1:40" s="438" customFormat="1" ht="15.6" x14ac:dyDescent="0.3">
      <c r="E41" s="488"/>
      <c r="F41" s="431"/>
      <c r="G41" s="431"/>
      <c r="H41" s="431"/>
      <c r="I41" s="453"/>
    </row>
    <row r="42" spans="1:40" s="438" customFormat="1" ht="15.6" x14ac:dyDescent="0.3">
      <c r="E42" s="488"/>
      <c r="F42" s="431"/>
      <c r="G42" s="431"/>
      <c r="H42" s="431"/>
      <c r="I42" s="453"/>
    </row>
    <row r="43" spans="1:40" s="438" customFormat="1" x14ac:dyDescent="0.3">
      <c r="E43" s="431"/>
      <c r="F43" s="431"/>
      <c r="G43" s="431"/>
      <c r="H43" s="431"/>
      <c r="I43" s="453"/>
    </row>
    <row r="44" spans="1:40" s="438" customFormat="1" x14ac:dyDescent="0.3">
      <c r="E44" s="431"/>
      <c r="F44" s="431"/>
      <c r="G44" s="431"/>
      <c r="H44" s="431"/>
      <c r="I44" s="453"/>
    </row>
    <row r="45" spans="1:40" s="438" customFormat="1" x14ac:dyDescent="0.3">
      <c r="E45" s="431"/>
      <c r="F45" s="431"/>
      <c r="G45" s="431"/>
      <c r="H45" s="431"/>
      <c r="I45" s="453"/>
    </row>
    <row r="46" spans="1:40" s="438" customFormat="1" x14ac:dyDescent="0.3">
      <c r="E46" s="431"/>
      <c r="F46" s="431"/>
      <c r="G46" s="431"/>
      <c r="H46" s="431"/>
      <c r="I46" s="453"/>
    </row>
    <row r="47" spans="1:40" s="438" customFormat="1" x14ac:dyDescent="0.3">
      <c r="E47" s="431"/>
      <c r="F47" s="431"/>
      <c r="G47" s="431"/>
      <c r="H47" s="431"/>
      <c r="I47" s="453"/>
      <c r="L47" s="446"/>
      <c r="M47" s="446"/>
      <c r="S47" s="494"/>
      <c r="V47" s="446"/>
    </row>
    <row r="48" spans="1:40" s="438" customFormat="1" x14ac:dyDescent="0.3">
      <c r="E48" s="431"/>
      <c r="F48" s="431"/>
      <c r="G48" s="431"/>
      <c r="H48" s="431"/>
      <c r="I48" s="453"/>
      <c r="L48" s="446"/>
      <c r="M48" s="446"/>
      <c r="S48" s="495"/>
      <c r="V48" s="446"/>
    </row>
    <row r="49" spans="2:22" s="438" customFormat="1" x14ac:dyDescent="0.3">
      <c r="I49" s="453"/>
      <c r="L49" s="446"/>
      <c r="M49" s="446"/>
      <c r="V49" s="446"/>
    </row>
    <row r="50" spans="2:22" s="438" customFormat="1" x14ac:dyDescent="0.3">
      <c r="L50" s="446"/>
      <c r="M50" s="446"/>
      <c r="T50" s="495"/>
    </row>
    <row r="51" spans="2:22" s="438" customFormat="1" x14ac:dyDescent="0.3">
      <c r="I51" s="496"/>
      <c r="K51" s="497"/>
    </row>
    <row r="52" spans="2:22" s="438" customFormat="1" x14ac:dyDescent="0.3">
      <c r="I52" s="453"/>
      <c r="K52" s="497"/>
    </row>
    <row r="53" spans="2:22" s="438" customFormat="1" x14ac:dyDescent="0.3">
      <c r="H53" s="495"/>
      <c r="I53" s="453"/>
      <c r="K53" s="497"/>
    </row>
    <row r="54" spans="2:22" s="438" customFormat="1" x14ac:dyDescent="0.3">
      <c r="I54" s="453"/>
      <c r="T54" s="495"/>
    </row>
    <row r="55" spans="2:22" s="438" customFormat="1" x14ac:dyDescent="0.3">
      <c r="I55" s="496"/>
      <c r="J55" s="497"/>
    </row>
    <row r="56" spans="2:22" s="438" customFormat="1" x14ac:dyDescent="0.3">
      <c r="I56" s="497"/>
      <c r="J56" s="497"/>
    </row>
    <row r="57" spans="2:22" s="438" customFormat="1" x14ac:dyDescent="0.3">
      <c r="D57" s="431"/>
      <c r="I57" s="497"/>
      <c r="J57" s="497"/>
    </row>
    <row r="58" spans="2:22" s="438" customFormat="1" x14ac:dyDescent="0.3">
      <c r="D58" s="431"/>
      <c r="I58" s="453"/>
    </row>
    <row r="59" spans="2:22" s="438" customFormat="1" x14ac:dyDescent="0.3">
      <c r="I59" s="453"/>
    </row>
    <row r="60" spans="2:22" s="438" customFormat="1" ht="15.75" customHeight="1" x14ac:dyDescent="0.3">
      <c r="B60" s="431"/>
      <c r="C60" s="431"/>
      <c r="E60" s="431"/>
      <c r="I60" s="453"/>
      <c r="L60" s="497"/>
      <c r="M60" s="497"/>
      <c r="N60" s="497"/>
      <c r="O60" s="497"/>
      <c r="P60" s="497"/>
      <c r="R60" s="499"/>
    </row>
    <row r="61" spans="2:22" s="438" customFormat="1" x14ac:dyDescent="0.3">
      <c r="B61" s="498"/>
      <c r="C61" s="431"/>
      <c r="E61" s="431"/>
      <c r="I61" s="453"/>
      <c r="L61" s="497"/>
      <c r="M61" s="497"/>
      <c r="N61" s="497"/>
      <c r="O61" s="497"/>
      <c r="P61" s="497"/>
      <c r="R61" s="500"/>
    </row>
    <row r="62" spans="2:22" s="438" customFormat="1" x14ac:dyDescent="0.3">
      <c r="I62" s="453"/>
      <c r="L62" s="497"/>
      <c r="M62" s="497"/>
      <c r="N62" s="497"/>
      <c r="O62" s="497"/>
      <c r="P62" s="497"/>
      <c r="R62" s="500"/>
    </row>
    <row r="63" spans="2:22" s="438" customFormat="1" x14ac:dyDescent="0.3">
      <c r="I63" s="453"/>
      <c r="R63" s="500"/>
    </row>
    <row r="64" spans="2:22" s="438" customFormat="1" x14ac:dyDescent="0.3">
      <c r="I64" s="453"/>
    </row>
    <row r="65" spans="9:9" s="438" customFormat="1" x14ac:dyDescent="0.3">
      <c r="I65" s="453"/>
    </row>
    <row r="66" spans="9:9" s="438" customFormat="1" x14ac:dyDescent="0.3">
      <c r="I66" s="453"/>
    </row>
    <row r="67" spans="9:9" s="438" customFormat="1" x14ac:dyDescent="0.3">
      <c r="I67" s="453"/>
    </row>
    <row r="68" spans="9:9" s="438" customFormat="1" x14ac:dyDescent="0.3">
      <c r="I68" s="453"/>
    </row>
    <row r="69" spans="9:9" s="438" customFormat="1" x14ac:dyDescent="0.3">
      <c r="I69" s="453"/>
    </row>
    <row r="70" spans="9:9" s="438" customFormat="1" x14ac:dyDescent="0.3">
      <c r="I70" s="453"/>
    </row>
    <row r="71" spans="9:9" s="438" customFormat="1" x14ac:dyDescent="0.3">
      <c r="I71" s="453"/>
    </row>
    <row r="72" spans="9:9" s="438" customFormat="1" x14ac:dyDescent="0.3">
      <c r="I72" s="453"/>
    </row>
    <row r="73" spans="9:9" s="438" customFormat="1" x14ac:dyDescent="0.3">
      <c r="I73" s="453"/>
    </row>
    <row r="74" spans="9:9" s="438" customFormat="1" x14ac:dyDescent="0.3">
      <c r="I74" s="453"/>
    </row>
    <row r="75" spans="9:9" s="438" customFormat="1" x14ac:dyDescent="0.3">
      <c r="I75" s="453"/>
    </row>
    <row r="76" spans="9:9" s="438" customFormat="1" x14ac:dyDescent="0.3">
      <c r="I76" s="453"/>
    </row>
    <row r="77" spans="9:9" s="438" customFormat="1" x14ac:dyDescent="0.3">
      <c r="I77" s="453"/>
    </row>
    <row r="78" spans="9:9" s="438" customFormat="1" x14ac:dyDescent="0.3">
      <c r="I78" s="453"/>
    </row>
    <row r="79" spans="9:9" s="438" customFormat="1" x14ac:dyDescent="0.3">
      <c r="I79" s="453"/>
    </row>
    <row r="80" spans="9:9" s="438" customFormat="1" x14ac:dyDescent="0.3">
      <c r="I80" s="453"/>
    </row>
    <row r="81" spans="9:9" s="438" customFormat="1" x14ac:dyDescent="0.3">
      <c r="I81" s="453"/>
    </row>
    <row r="82" spans="9:9" s="438" customFormat="1" x14ac:dyDescent="0.3">
      <c r="I82" s="453"/>
    </row>
    <row r="83" spans="9:9" s="438" customFormat="1" x14ac:dyDescent="0.3">
      <c r="I83" s="453"/>
    </row>
    <row r="84" spans="9:9" s="438" customFormat="1" x14ac:dyDescent="0.3">
      <c r="I84" s="453"/>
    </row>
    <row r="85" spans="9:9" s="438" customFormat="1" x14ac:dyDescent="0.3">
      <c r="I85" s="453"/>
    </row>
    <row r="86" spans="9:9" s="438" customFormat="1" x14ac:dyDescent="0.3">
      <c r="I86" s="453"/>
    </row>
    <row r="87" spans="9:9" s="438" customFormat="1" x14ac:dyDescent="0.3">
      <c r="I87" s="453"/>
    </row>
    <row r="88" spans="9:9" s="438" customFormat="1" x14ac:dyDescent="0.3">
      <c r="I88" s="453"/>
    </row>
    <row r="89" spans="9:9" s="438" customFormat="1" x14ac:dyDescent="0.3">
      <c r="I89" s="453"/>
    </row>
    <row r="90" spans="9:9" s="438" customFormat="1" x14ac:dyDescent="0.3">
      <c r="I90" s="453"/>
    </row>
    <row r="91" spans="9:9" s="438" customFormat="1" x14ac:dyDescent="0.3">
      <c r="I91" s="453"/>
    </row>
    <row r="92" spans="9:9" s="438" customFormat="1" x14ac:dyDescent="0.3">
      <c r="I92" s="453"/>
    </row>
    <row r="93" spans="9:9" s="438" customFormat="1" x14ac:dyDescent="0.3">
      <c r="I93" s="453"/>
    </row>
    <row r="94" spans="9:9" s="438" customFormat="1" x14ac:dyDescent="0.3">
      <c r="I94" s="453"/>
    </row>
    <row r="95" spans="9:9" s="438" customFormat="1" x14ac:dyDescent="0.3">
      <c r="I95" s="453"/>
    </row>
    <row r="96" spans="9:9" s="438" customFormat="1" x14ac:dyDescent="0.3">
      <c r="I96" s="453"/>
    </row>
    <row r="97" spans="9:9" s="438" customFormat="1" x14ac:dyDescent="0.3">
      <c r="I97" s="453"/>
    </row>
    <row r="98" spans="9:9" s="438" customFormat="1" x14ac:dyDescent="0.3">
      <c r="I98" s="453"/>
    </row>
    <row r="99" spans="9:9" s="438" customFormat="1" x14ac:dyDescent="0.3">
      <c r="I99" s="453"/>
    </row>
    <row r="100" spans="9:9" s="438" customFormat="1" x14ac:dyDescent="0.3">
      <c r="I100" s="453"/>
    </row>
    <row r="101" spans="9:9" s="438" customFormat="1" x14ac:dyDescent="0.3">
      <c r="I101" s="453"/>
    </row>
    <row r="102" spans="9:9" s="438" customFormat="1" x14ac:dyDescent="0.3">
      <c r="I102" s="453"/>
    </row>
    <row r="103" spans="9:9" s="438" customFormat="1" x14ac:dyDescent="0.3">
      <c r="I103" s="453"/>
    </row>
    <row r="104" spans="9:9" s="438" customFormat="1" x14ac:dyDescent="0.3">
      <c r="I104" s="453"/>
    </row>
    <row r="105" spans="9:9" s="438" customFormat="1" x14ac:dyDescent="0.3">
      <c r="I105" s="453"/>
    </row>
    <row r="106" spans="9:9" s="438" customFormat="1" x14ac:dyDescent="0.3">
      <c r="I106" s="453"/>
    </row>
    <row r="107" spans="9:9" s="438" customFormat="1" x14ac:dyDescent="0.3">
      <c r="I107" s="453"/>
    </row>
    <row r="108" spans="9:9" s="438" customFormat="1" x14ac:dyDescent="0.3">
      <c r="I108" s="453"/>
    </row>
    <row r="109" spans="9:9" s="438" customFormat="1" x14ac:dyDescent="0.3">
      <c r="I109" s="453"/>
    </row>
    <row r="110" spans="9:9" s="438" customFormat="1" x14ac:dyDescent="0.3">
      <c r="I110" s="453"/>
    </row>
    <row r="111" spans="9:9" s="438" customFormat="1" x14ac:dyDescent="0.3">
      <c r="I111" s="453"/>
    </row>
    <row r="112" spans="9:9" s="438" customFormat="1" x14ac:dyDescent="0.3">
      <c r="I112" s="453"/>
    </row>
    <row r="113" spans="2:20" s="438" customFormat="1" x14ac:dyDescent="0.3">
      <c r="I113" s="453"/>
    </row>
    <row r="114" spans="2:20" s="438" customFormat="1" x14ac:dyDescent="0.3">
      <c r="I114" s="453"/>
    </row>
    <row r="115" spans="2:20" s="438" customFormat="1" x14ac:dyDescent="0.3">
      <c r="I115" s="453"/>
    </row>
    <row r="116" spans="2:20" s="438" customFormat="1" x14ac:dyDescent="0.3">
      <c r="I116" s="453"/>
    </row>
    <row r="117" spans="2:20" s="438" customFormat="1" x14ac:dyDescent="0.3">
      <c r="I117" s="453"/>
    </row>
    <row r="118" spans="2:20" s="438" customFormat="1" ht="15" thickBot="1" x14ac:dyDescent="0.35">
      <c r="I118" s="453"/>
      <c r="T118" s="501"/>
    </row>
    <row r="119" spans="2:20" s="438" customFormat="1" x14ac:dyDescent="0.3">
      <c r="I119" s="453"/>
    </row>
    <row r="120" spans="2:20" s="438" customFormat="1" x14ac:dyDescent="0.3">
      <c r="I120" s="453"/>
    </row>
    <row r="121" spans="2:20" s="438" customFormat="1" x14ac:dyDescent="0.3">
      <c r="I121" s="453"/>
    </row>
    <row r="122" spans="2:20" s="438" customFormat="1" x14ac:dyDescent="0.3">
      <c r="I122" s="453"/>
    </row>
    <row r="123" spans="2:20" s="438" customFormat="1" x14ac:dyDescent="0.3">
      <c r="I123" s="453"/>
    </row>
    <row r="124" spans="2:20" s="438" customFormat="1" x14ac:dyDescent="0.3">
      <c r="B124" s="453"/>
      <c r="I124" s="453"/>
    </row>
    <row r="125" spans="2:20" s="438" customFormat="1" x14ac:dyDescent="0.3">
      <c r="B125" s="453"/>
      <c r="I125" s="453"/>
    </row>
    <row r="126" spans="2:20" s="438" customFormat="1" x14ac:dyDescent="0.3">
      <c r="B126" s="453"/>
      <c r="I126" s="453"/>
    </row>
    <row r="127" spans="2:20" s="438" customFormat="1" x14ac:dyDescent="0.3">
      <c r="B127" s="453"/>
      <c r="I127" s="453"/>
    </row>
    <row r="128" spans="2:20" s="438" customFormat="1" x14ac:dyDescent="0.3">
      <c r="B128" s="453"/>
      <c r="I128" s="453"/>
    </row>
    <row r="129" spans="2:9" s="438" customFormat="1" x14ac:dyDescent="0.3">
      <c r="B129" s="496"/>
      <c r="I129" s="453"/>
    </row>
    <row r="130" spans="2:9" s="438" customFormat="1" x14ac:dyDescent="0.3">
      <c r="I130" s="453"/>
    </row>
    <row r="131" spans="2:9" s="438" customFormat="1" x14ac:dyDescent="0.3">
      <c r="I131" s="453"/>
    </row>
    <row r="132" spans="2:9" s="438" customFormat="1" x14ac:dyDescent="0.3">
      <c r="I132" s="453"/>
    </row>
    <row r="133" spans="2:9" s="438" customFormat="1" x14ac:dyDescent="0.3">
      <c r="I133" s="453"/>
    </row>
    <row r="134" spans="2:9" s="438" customFormat="1" x14ac:dyDescent="0.3">
      <c r="E134" s="446"/>
      <c r="I134" s="453"/>
    </row>
    <row r="135" spans="2:9" s="438" customFormat="1" x14ac:dyDescent="0.3">
      <c r="E135" s="446"/>
      <c r="I135" s="453"/>
    </row>
    <row r="136" spans="2:9" s="438" customFormat="1" x14ac:dyDescent="0.3">
      <c r="E136" s="446"/>
      <c r="I136" s="453"/>
    </row>
    <row r="137" spans="2:9" s="438" customFormat="1" x14ac:dyDescent="0.3">
      <c r="I137" s="453"/>
    </row>
    <row r="138" spans="2:9" s="438" customFormat="1" x14ac:dyDescent="0.3">
      <c r="E138" s="446"/>
      <c r="I138" s="453"/>
    </row>
    <row r="139" spans="2:9" s="438" customFormat="1" x14ac:dyDescent="0.3">
      <c r="E139" s="446"/>
      <c r="I139" s="453"/>
    </row>
    <row r="140" spans="2:9" s="438" customFormat="1" x14ac:dyDescent="0.3">
      <c r="I140" s="453"/>
    </row>
    <row r="141" spans="2:9" s="438" customFormat="1" x14ac:dyDescent="0.3">
      <c r="E141" s="446"/>
      <c r="I141" s="453"/>
    </row>
    <row r="142" spans="2:9" s="438" customFormat="1" x14ac:dyDescent="0.3">
      <c r="E142" s="446"/>
      <c r="I142" s="453"/>
    </row>
    <row r="143" spans="2:9" s="438" customFormat="1" x14ac:dyDescent="0.3">
      <c r="E143" s="446"/>
      <c r="I143" s="453"/>
    </row>
    <row r="144" spans="2:9" s="438" customFormat="1" x14ac:dyDescent="0.3">
      <c r="E144" s="446"/>
      <c r="I144" s="453"/>
    </row>
    <row r="145" spans="2:9" s="438" customFormat="1" x14ac:dyDescent="0.3">
      <c r="E145" s="446"/>
      <c r="I145" s="453"/>
    </row>
    <row r="146" spans="2:9" s="438" customFormat="1" x14ac:dyDescent="0.3">
      <c r="E146" s="446"/>
      <c r="I146" s="453"/>
    </row>
    <row r="147" spans="2:9" s="438" customFormat="1" x14ac:dyDescent="0.3">
      <c r="I147" s="453"/>
    </row>
    <row r="148" spans="2:9" s="438" customFormat="1" x14ac:dyDescent="0.3">
      <c r="E148" s="446"/>
      <c r="I148" s="453"/>
    </row>
    <row r="149" spans="2:9" s="438" customFormat="1" x14ac:dyDescent="0.3">
      <c r="E149" s="446"/>
      <c r="I149" s="453"/>
    </row>
    <row r="150" spans="2:9" s="438" customFormat="1" x14ac:dyDescent="0.3">
      <c r="E150" s="446"/>
      <c r="I150" s="453"/>
    </row>
    <row r="151" spans="2:9" s="438" customFormat="1" x14ac:dyDescent="0.3">
      <c r="E151" s="446"/>
      <c r="I151" s="453"/>
    </row>
    <row r="152" spans="2:9" s="438" customFormat="1" x14ac:dyDescent="0.3">
      <c r="I152" s="453"/>
    </row>
    <row r="153" spans="2:9" s="438" customFormat="1" x14ac:dyDescent="0.3">
      <c r="I153" s="453"/>
    </row>
    <row r="154" spans="2:9" x14ac:dyDescent="0.3">
      <c r="B154" s="438"/>
      <c r="C154" s="438"/>
      <c r="D154" s="438"/>
      <c r="E154" s="438"/>
      <c r="F154" s="438"/>
    </row>
    <row r="155" spans="2:9" x14ac:dyDescent="0.3">
      <c r="D155" s="438"/>
      <c r="E155" s="438"/>
      <c r="F155" s="438"/>
    </row>
    <row r="156" spans="2:9" x14ac:dyDescent="0.3">
      <c r="E156" s="29"/>
    </row>
    <row r="157" spans="2:9" x14ac:dyDescent="0.3">
      <c r="E157" s="29"/>
      <c r="F157" s="29"/>
    </row>
    <row r="160" spans="2:9" x14ac:dyDescent="0.3">
      <c r="E160" s="29"/>
    </row>
    <row r="163" spans="5:5" x14ac:dyDescent="0.3">
      <c r="E163" s="29"/>
    </row>
  </sheetData>
  <sheetProtection algorithmName="SHA-512" hashValue="iesb+xKDO2Lgirwhx7GfOEdGClckd7G6PGqGq7TBJqx2lOqXX+0Dm7lbDzWf+MoKHvpPM86uSNQ2Jr6882relQ==" saltValue="gGYdSp5ew3QPvHd6QPOjwA==" spinCount="100000" sheet="1" objects="1" scenarios="1"/>
  <sortState xmlns:xlrd2="http://schemas.microsoft.com/office/spreadsheetml/2017/richdata2" ref="H36:I38">
    <sortCondition ref="H35"/>
  </sortState>
  <mergeCells count="1">
    <mergeCell ref="E10:F10"/>
  </mergeCells>
  <phoneticPr fontId="0" type="noConversion"/>
  <conditionalFormatting sqref="C12:C14">
    <cfRule type="expression" dxfId="18" priority="136">
      <formula>OR($C$6=$B$24,$C$6=$B$21)</formula>
    </cfRule>
  </conditionalFormatting>
  <conditionalFormatting sqref="C7">
    <cfRule type="expression" dxfId="17" priority="138">
      <formula>OR($C$6=$B$23)</formula>
    </cfRule>
  </conditionalFormatting>
  <conditionalFormatting sqref="C8">
    <cfRule type="expression" dxfId="16" priority="139">
      <formula>OR($C$6=$B$21,$C$6=$B$24)</formula>
    </cfRule>
  </conditionalFormatting>
  <conditionalFormatting sqref="C9">
    <cfRule type="expression" dxfId="15" priority="140">
      <formula>OR(C6=B21,C6=B23,C6=B24)</formula>
    </cfRule>
  </conditionalFormatting>
  <conditionalFormatting sqref="C11">
    <cfRule type="expression" dxfId="14" priority="141">
      <formula>(C6=B23)</formula>
    </cfRule>
  </conditionalFormatting>
  <dataValidations count="4">
    <dataValidation type="list" allowBlank="1" showInputMessage="1" showErrorMessage="1" sqref="C13" xr:uid="{00000000-0002-0000-0300-000000000000}">
      <formula1>$B$31:$B$32</formula1>
    </dataValidation>
    <dataValidation type="list" allowBlank="1" showInputMessage="1" showErrorMessage="1" sqref="C6" xr:uid="{00000000-0002-0000-0300-000001000000}">
      <formula1>$B$21:$B$24</formula1>
    </dataValidation>
    <dataValidation type="list" allowBlank="1" showInputMessage="1" showErrorMessage="1" sqref="C11:C12 C14" xr:uid="{00000000-0002-0000-0300-000002000000}">
      <formula1>"Yes, No"</formula1>
    </dataValidation>
    <dataValidation type="list" allowBlank="1" showInputMessage="1" showErrorMessage="1" promptTitle="Select one" sqref="C15" xr:uid="{00000000-0002-0000-0300-000003000000}">
      <formula1>$B$35:$B$36</formula1>
    </dataValidation>
  </dataValidations>
  <printOptions headings="1"/>
  <pageMargins left="0.7" right="0.7" top="0.75" bottom="0.75" header="0.3" footer="0.3"/>
  <pageSetup scale="19" orientation="landscape" horizontalDpi="525" verticalDpi="52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CU134"/>
  <sheetViews>
    <sheetView zoomScale="81" zoomScaleNormal="81" workbookViewId="0">
      <selection activeCell="C7" sqref="C7"/>
    </sheetView>
  </sheetViews>
  <sheetFormatPr defaultColWidth="9.109375" defaultRowHeight="14.4" x14ac:dyDescent="0.3"/>
  <cols>
    <col min="1" max="1" width="7.33203125" style="442" customWidth="1"/>
    <col min="2" max="2" width="77" style="183" customWidth="1"/>
    <col min="3" max="3" width="31.109375" style="183" customWidth="1"/>
    <col min="4" max="4" width="11" style="183" customWidth="1"/>
    <col min="5" max="5" width="21.5546875" style="183" customWidth="1"/>
    <col min="6" max="6" width="25" style="442" customWidth="1"/>
    <col min="7" max="11" width="19.44140625" style="442" customWidth="1"/>
    <col min="12" max="12" width="17.109375" style="442" customWidth="1"/>
    <col min="13" max="13" width="22.88671875" style="442" customWidth="1"/>
    <col min="14" max="14" width="16.6640625" style="442" customWidth="1"/>
    <col min="15" max="15" width="9.5546875" style="442" customWidth="1"/>
    <col min="16" max="16" width="13.109375" style="183" customWidth="1"/>
    <col min="17" max="19" width="9.109375" style="183"/>
    <col min="20" max="20" width="13.109375" style="442" customWidth="1"/>
    <col min="21" max="99" width="9.109375" style="442"/>
    <col min="100" max="16384" width="9.109375" style="183"/>
  </cols>
  <sheetData>
    <row r="1" spans="1:99" s="442" customFormat="1" x14ac:dyDescent="0.3">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row>
    <row r="2" spans="1:99" ht="18" x14ac:dyDescent="0.35">
      <c r="A2" s="438"/>
      <c r="B2" s="184" t="s">
        <v>88</v>
      </c>
      <c r="C2" s="185"/>
      <c r="D2" s="185"/>
      <c r="E2" s="186"/>
      <c r="F2" s="536"/>
      <c r="G2" s="536"/>
      <c r="H2" s="536"/>
      <c r="I2" s="536"/>
      <c r="J2" s="536"/>
      <c r="K2" s="536"/>
      <c r="L2" s="536"/>
      <c r="M2" s="536"/>
      <c r="N2" s="536"/>
      <c r="O2" s="438"/>
      <c r="P2" s="438"/>
      <c r="Q2" s="438"/>
      <c r="R2" s="438"/>
      <c r="S2" s="438"/>
      <c r="T2" s="438"/>
      <c r="U2" s="438"/>
      <c r="V2" s="438"/>
      <c r="W2" s="438"/>
      <c r="X2" s="438"/>
      <c r="Y2" s="438"/>
      <c r="Z2" s="438"/>
      <c r="AA2" s="438"/>
      <c r="AB2" s="438"/>
    </row>
    <row r="3" spans="1:99" ht="15.6" x14ac:dyDescent="0.3">
      <c r="A3" s="438"/>
      <c r="B3" s="187" t="s">
        <v>156</v>
      </c>
      <c r="C3" s="157"/>
      <c r="D3" s="157"/>
      <c r="E3" s="188"/>
      <c r="F3" s="502"/>
      <c r="G3" s="502"/>
      <c r="H3" s="502"/>
      <c r="I3" s="502"/>
      <c r="J3" s="502"/>
      <c r="K3" s="502"/>
      <c r="L3" s="502"/>
      <c r="M3" s="502"/>
      <c r="N3" s="502"/>
      <c r="O3" s="438"/>
      <c r="P3" s="438"/>
      <c r="Q3" s="438"/>
      <c r="R3" s="438"/>
      <c r="S3" s="438"/>
      <c r="T3" s="438"/>
      <c r="U3" s="438"/>
      <c r="V3" s="438"/>
      <c r="W3" s="438"/>
      <c r="X3" s="438"/>
      <c r="Y3" s="438"/>
      <c r="Z3" s="438"/>
      <c r="AA3" s="438"/>
      <c r="AB3" s="438"/>
    </row>
    <row r="4" spans="1:99" ht="15.6" x14ac:dyDescent="0.3">
      <c r="A4" s="438"/>
      <c r="B4" s="158" t="s">
        <v>42</v>
      </c>
      <c r="C4" s="189"/>
      <c r="D4" s="190"/>
      <c r="E4" s="191"/>
      <c r="F4" s="438"/>
      <c r="G4" s="438"/>
      <c r="H4" s="438"/>
      <c r="I4" s="438"/>
      <c r="J4" s="438"/>
      <c r="K4" s="438"/>
      <c r="L4" s="438"/>
      <c r="M4" s="438"/>
      <c r="N4" s="438"/>
      <c r="O4" s="438"/>
      <c r="P4" s="438"/>
      <c r="Q4" s="438"/>
      <c r="R4" s="438"/>
      <c r="S4" s="438"/>
      <c r="T4" s="438"/>
      <c r="U4" s="438"/>
      <c r="V4" s="438"/>
      <c r="W4" s="438"/>
      <c r="X4" s="438"/>
      <c r="Y4" s="438"/>
      <c r="Z4" s="438"/>
      <c r="AA4" s="438"/>
      <c r="AB4" s="438"/>
    </row>
    <row r="5" spans="1:99" ht="20.100000000000001" customHeight="1" x14ac:dyDescent="0.3">
      <c r="A5" s="438"/>
      <c r="B5" s="331" t="s">
        <v>199</v>
      </c>
      <c r="C5" s="192"/>
      <c r="D5" s="159"/>
      <c r="E5" s="191"/>
      <c r="F5" s="438"/>
      <c r="G5" s="438"/>
      <c r="H5" s="438"/>
      <c r="I5" s="438"/>
      <c r="J5" s="438"/>
      <c r="K5" s="438"/>
      <c r="L5" s="438"/>
      <c r="M5" s="438"/>
      <c r="N5" s="438"/>
      <c r="O5" s="446"/>
      <c r="P5" s="438"/>
      <c r="Q5" s="438"/>
      <c r="R5" s="446"/>
      <c r="S5" s="438"/>
      <c r="T5" s="438"/>
      <c r="U5" s="438"/>
      <c r="V5" s="438"/>
      <c r="W5" s="438"/>
      <c r="X5" s="438"/>
      <c r="Y5" s="438"/>
      <c r="Z5" s="438"/>
      <c r="AA5" s="438"/>
      <c r="AB5" s="438"/>
    </row>
    <row r="6" spans="1:99" ht="20.100000000000001" customHeight="1" x14ac:dyDescent="0.3">
      <c r="A6" s="438"/>
      <c r="B6" s="331" t="s">
        <v>70</v>
      </c>
      <c r="C6" s="333" t="s">
        <v>75</v>
      </c>
      <c r="D6" s="524">
        <f>VLOOKUP(C6,B23:C25,2,0)</f>
        <v>1</v>
      </c>
      <c r="E6" s="193"/>
      <c r="F6" s="438"/>
      <c r="G6" s="438"/>
      <c r="H6" s="438"/>
      <c r="I6" s="438"/>
      <c r="J6" s="438"/>
      <c r="K6" s="438"/>
      <c r="L6" s="438"/>
      <c r="M6" s="438"/>
      <c r="N6" s="438"/>
      <c r="O6" s="446"/>
      <c r="P6" s="438"/>
      <c r="Q6" s="438"/>
      <c r="R6" s="446"/>
      <c r="S6" s="438"/>
      <c r="T6" s="438"/>
      <c r="U6" s="438"/>
      <c r="V6" s="438"/>
      <c r="W6" s="438"/>
      <c r="X6" s="438"/>
      <c r="Y6" s="438"/>
      <c r="Z6" s="438"/>
      <c r="AA6" s="438"/>
      <c r="AB6" s="438"/>
    </row>
    <row r="7" spans="1:99" ht="21" customHeight="1" x14ac:dyDescent="0.3">
      <c r="A7" s="438"/>
      <c r="B7" s="331" t="s">
        <v>176</v>
      </c>
      <c r="C7" s="257">
        <v>0</v>
      </c>
      <c r="D7" s="411">
        <f>IF(C$17=0,0,IF(C6=B23,C7,IF(C6=B24,C8,C7+C8+C9)))</f>
        <v>0</v>
      </c>
      <c r="E7" s="392" t="s">
        <v>85</v>
      </c>
      <c r="F7" s="537"/>
      <c r="G7" s="615"/>
      <c r="H7" s="615"/>
      <c r="I7" s="615"/>
      <c r="J7" s="615"/>
      <c r="K7" s="615"/>
      <c r="L7" s="615"/>
      <c r="M7" s="615"/>
      <c r="N7" s="615"/>
      <c r="O7" s="438"/>
      <c r="P7" s="446"/>
      <c r="Q7" s="438"/>
      <c r="R7" s="438"/>
      <c r="S7" s="446"/>
      <c r="T7" s="438"/>
      <c r="U7" s="438"/>
      <c r="V7" s="438"/>
      <c r="W7" s="438"/>
      <c r="X7" s="438"/>
      <c r="Y7" s="438"/>
      <c r="Z7" s="438"/>
      <c r="AA7" s="438"/>
      <c r="AB7" s="438"/>
    </row>
    <row r="8" spans="1:99" ht="20.100000000000001" customHeight="1" x14ac:dyDescent="0.3">
      <c r="A8" s="431"/>
      <c r="B8" s="331" t="s">
        <v>177</v>
      </c>
      <c r="C8" s="334">
        <v>10</v>
      </c>
      <c r="D8" s="401">
        <f>IF(C8=0,0, 10)</f>
        <v>10</v>
      </c>
      <c r="E8" s="393"/>
      <c r="F8" s="538"/>
      <c r="G8" s="616"/>
      <c r="H8" s="616"/>
      <c r="I8" s="616"/>
      <c r="J8" s="616"/>
      <c r="K8" s="616"/>
      <c r="L8" s="616"/>
      <c r="M8" s="616"/>
      <c r="N8" s="616"/>
      <c r="O8" s="438"/>
      <c r="P8" s="446"/>
      <c r="Q8" s="438"/>
      <c r="R8" s="438"/>
      <c r="S8" s="446"/>
      <c r="T8" s="438"/>
      <c r="U8" s="438"/>
      <c r="V8" s="438"/>
      <c r="W8" s="438"/>
      <c r="X8" s="438"/>
      <c r="Y8" s="438"/>
      <c r="Z8" s="438"/>
      <c r="AA8" s="438"/>
      <c r="AB8" s="438"/>
    </row>
    <row r="9" spans="1:99" ht="20.100000000000001" customHeight="1" x14ac:dyDescent="0.3">
      <c r="A9" s="431"/>
      <c r="B9" s="331" t="s">
        <v>178</v>
      </c>
      <c r="C9" s="257">
        <v>0</v>
      </c>
      <c r="D9" s="401">
        <f>IF(C9=0,0,C9)</f>
        <v>0</v>
      </c>
      <c r="E9" s="393"/>
      <c r="F9" s="539"/>
      <c r="G9" s="539"/>
      <c r="H9" s="539"/>
      <c r="I9" s="539"/>
      <c r="J9" s="539"/>
      <c r="K9" s="539"/>
      <c r="L9" s="539"/>
      <c r="M9" s="539"/>
      <c r="N9" s="539"/>
      <c r="O9" s="438"/>
      <c r="P9" s="446"/>
      <c r="Q9" s="438"/>
      <c r="R9" s="438"/>
      <c r="S9" s="446"/>
      <c r="T9" s="438"/>
      <c r="U9" s="438"/>
      <c r="V9" s="438"/>
      <c r="W9" s="438"/>
      <c r="X9" s="438"/>
      <c r="Y9" s="438"/>
      <c r="Z9" s="438"/>
      <c r="AA9" s="438"/>
      <c r="AB9" s="438"/>
    </row>
    <row r="10" spans="1:99" s="332" customFormat="1" ht="20.100000000000001" customHeight="1" x14ac:dyDescent="0.3">
      <c r="A10" s="431"/>
      <c r="B10" s="354" t="s">
        <v>189</v>
      </c>
      <c r="C10" s="355"/>
      <c r="D10" s="394"/>
      <c r="E10" s="395"/>
      <c r="F10" s="540"/>
      <c r="G10" s="540"/>
      <c r="H10" s="540"/>
      <c r="I10" s="540"/>
      <c r="J10" s="540"/>
      <c r="K10" s="540"/>
      <c r="L10" s="540"/>
      <c r="M10" s="540"/>
      <c r="N10" s="540"/>
      <c r="O10" s="438"/>
      <c r="P10" s="446"/>
      <c r="Q10" s="438"/>
      <c r="R10" s="438"/>
      <c r="S10" s="446"/>
      <c r="T10" s="438"/>
      <c r="U10" s="438"/>
      <c r="V10" s="438"/>
      <c r="W10" s="438"/>
      <c r="X10" s="438"/>
      <c r="Y10" s="438"/>
      <c r="Z10" s="438"/>
      <c r="AA10" s="438"/>
      <c r="AB10" s="438"/>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2"/>
      <c r="BT10" s="442"/>
      <c r="BU10" s="442"/>
      <c r="BV10" s="442"/>
      <c r="BW10" s="442"/>
      <c r="BX10" s="442"/>
      <c r="BY10" s="442"/>
      <c r="BZ10" s="442"/>
      <c r="CA10" s="442"/>
      <c r="CB10" s="442"/>
      <c r="CC10" s="442"/>
      <c r="CD10" s="442"/>
      <c r="CE10" s="442"/>
      <c r="CF10" s="442"/>
      <c r="CG10" s="442"/>
      <c r="CH10" s="442"/>
      <c r="CI10" s="442"/>
      <c r="CJ10" s="442"/>
      <c r="CK10" s="442"/>
      <c r="CL10" s="442"/>
      <c r="CM10" s="442"/>
      <c r="CN10" s="442"/>
      <c r="CO10" s="442"/>
      <c r="CP10" s="442"/>
      <c r="CQ10" s="442"/>
      <c r="CR10" s="442"/>
      <c r="CS10" s="442"/>
      <c r="CT10" s="442"/>
      <c r="CU10" s="442"/>
    </row>
    <row r="11" spans="1:99" s="332" customFormat="1" ht="20.100000000000001" customHeight="1" x14ac:dyDescent="0.3">
      <c r="A11" s="431"/>
      <c r="B11" s="402" t="s">
        <v>74</v>
      </c>
      <c r="C11" s="343" t="s">
        <v>252</v>
      </c>
      <c r="D11" s="403">
        <f>VLOOKUP(C11,B$32:C$35,2)</f>
        <v>1</v>
      </c>
      <c r="E11" s="397"/>
      <c r="F11" s="597"/>
      <c r="G11" s="597"/>
      <c r="H11" s="597"/>
      <c r="I11" s="597"/>
      <c r="J11" s="597"/>
      <c r="K11" s="597"/>
      <c r="L11" s="597"/>
      <c r="M11" s="597"/>
      <c r="N11" s="597"/>
      <c r="O11" s="438"/>
      <c r="P11" s="446"/>
      <c r="Q11" s="438"/>
      <c r="R11" s="438"/>
      <c r="S11" s="446"/>
      <c r="T11" s="438"/>
      <c r="U11" s="438"/>
      <c r="V11" s="438"/>
      <c r="W11" s="438"/>
      <c r="X11" s="438"/>
      <c r="Y11" s="438"/>
      <c r="Z11" s="438"/>
      <c r="AA11" s="438"/>
      <c r="AB11" s="438"/>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c r="BK11" s="442"/>
      <c r="BL11" s="442"/>
      <c r="BM11" s="442"/>
      <c r="BN11" s="442"/>
      <c r="BO11" s="442"/>
      <c r="BP11" s="442"/>
      <c r="BQ11" s="442"/>
      <c r="BR11" s="442"/>
      <c r="BS11" s="442"/>
      <c r="BT11" s="442"/>
      <c r="BU11" s="442"/>
      <c r="BV11" s="442"/>
      <c r="BW11" s="442"/>
      <c r="BX11" s="442"/>
      <c r="BY11" s="442"/>
      <c r="BZ11" s="442"/>
      <c r="CA11" s="442"/>
      <c r="CB11" s="442"/>
      <c r="CC11" s="442"/>
      <c r="CD11" s="442"/>
      <c r="CE11" s="442"/>
      <c r="CF11" s="442"/>
      <c r="CG11" s="442"/>
      <c r="CH11" s="442"/>
      <c r="CI11" s="442"/>
      <c r="CJ11" s="442"/>
      <c r="CK11" s="442"/>
      <c r="CL11" s="442"/>
      <c r="CM11" s="442"/>
      <c r="CN11" s="442"/>
      <c r="CO11" s="442"/>
      <c r="CP11" s="442"/>
      <c r="CQ11" s="442"/>
      <c r="CR11" s="442"/>
      <c r="CS11" s="442"/>
      <c r="CT11" s="442"/>
      <c r="CU11" s="442"/>
    </row>
    <row r="12" spans="1:99" ht="20.100000000000001" customHeight="1" x14ac:dyDescent="0.3">
      <c r="A12" s="431"/>
      <c r="B12" s="354" t="s">
        <v>147</v>
      </c>
      <c r="C12" s="404"/>
      <c r="D12" s="405">
        <f>IF(C6=B23,D13,IF(C8=0,0,IF(C6=B24,D14*D15*D16,D13*D14*D15*D16)))</f>
        <v>1</v>
      </c>
      <c r="E12" s="409" t="str">
        <f>IF(D$12=0,"Not valid","implies "&amp; ROUND(46/(D$12),0) &amp; " acres/bat")</f>
        <v>implies 46 acres/bat</v>
      </c>
      <c r="F12" s="541"/>
      <c r="G12" s="541"/>
      <c r="H12" s="541"/>
      <c r="I12" s="541"/>
      <c r="J12" s="541"/>
      <c r="K12" s="541"/>
      <c r="L12" s="541"/>
      <c r="M12" s="541"/>
      <c r="N12" s="541"/>
      <c r="O12" s="505"/>
      <c r="P12" s="438"/>
      <c r="Q12" s="446"/>
      <c r="R12" s="438"/>
      <c r="S12" s="446"/>
      <c r="T12" s="438"/>
      <c r="U12" s="438"/>
      <c r="V12" s="438"/>
      <c r="W12" s="438"/>
      <c r="X12" s="438"/>
      <c r="Y12" s="438"/>
      <c r="Z12" s="438"/>
      <c r="AA12" s="438"/>
      <c r="AB12" s="438"/>
      <c r="AC12" s="438"/>
    </row>
    <row r="13" spans="1:99" ht="20.100000000000001" customHeight="1" x14ac:dyDescent="0.3">
      <c r="A13" s="431"/>
      <c r="B13" s="353" t="s">
        <v>200</v>
      </c>
      <c r="C13" s="330" t="s">
        <v>187</v>
      </c>
      <c r="D13" s="396">
        <f>IF(C13="no", 0,1)</f>
        <v>1</v>
      </c>
      <c r="E13" s="398"/>
      <c r="F13" s="510"/>
      <c r="G13" s="510"/>
      <c r="H13" s="510"/>
      <c r="I13" s="510"/>
      <c r="J13" s="510"/>
      <c r="K13" s="510"/>
      <c r="L13" s="510"/>
      <c r="M13" s="510"/>
      <c r="N13" s="510"/>
      <c r="O13" s="438"/>
      <c r="P13" s="438"/>
      <c r="Q13" s="438"/>
      <c r="R13" s="446"/>
      <c r="S13" s="438"/>
      <c r="T13" s="438"/>
      <c r="U13" s="438"/>
      <c r="V13" s="438"/>
      <c r="W13" s="438"/>
      <c r="X13" s="438"/>
      <c r="Y13" s="438"/>
      <c r="Z13" s="438"/>
      <c r="AA13" s="438"/>
      <c r="AB13" s="438"/>
    </row>
    <row r="14" spans="1:99" ht="20.100000000000001" customHeight="1" x14ac:dyDescent="0.3">
      <c r="A14" s="431"/>
      <c r="B14" s="50" t="s">
        <v>162</v>
      </c>
      <c r="C14" s="343" t="s">
        <v>47</v>
      </c>
      <c r="D14" s="399">
        <f>VLOOKUP(C14,B38:C39,2,0)</f>
        <v>1</v>
      </c>
      <c r="E14" s="398"/>
      <c r="F14" s="510"/>
      <c r="G14" s="510"/>
      <c r="H14" s="510"/>
      <c r="I14" s="510"/>
      <c r="J14" s="510"/>
      <c r="K14" s="510"/>
      <c r="L14" s="510"/>
      <c r="M14" s="510"/>
      <c r="N14" s="510"/>
      <c r="O14" s="438"/>
      <c r="P14" s="447"/>
      <c r="Q14" s="438"/>
      <c r="R14" s="446"/>
      <c r="S14" s="438"/>
      <c r="T14" s="438"/>
      <c r="U14" s="438"/>
      <c r="V14" s="438"/>
      <c r="W14" s="438"/>
      <c r="X14" s="438"/>
      <c r="Y14" s="438"/>
      <c r="Z14" s="438"/>
      <c r="AA14" s="438"/>
      <c r="AB14" s="438"/>
    </row>
    <row r="15" spans="1:99" ht="20.100000000000001" customHeight="1" x14ac:dyDescent="0.3">
      <c r="A15" s="431"/>
      <c r="B15" s="352" t="s">
        <v>201</v>
      </c>
      <c r="C15" s="343" t="s">
        <v>47</v>
      </c>
      <c r="D15" s="399">
        <f>VLOOKUP(C15,B42:C43,2,0)</f>
        <v>1</v>
      </c>
      <c r="E15" s="398"/>
      <c r="F15" s="542"/>
      <c r="G15" s="542"/>
      <c r="H15" s="542"/>
      <c r="I15" s="542"/>
      <c r="J15" s="542"/>
      <c r="K15" s="542"/>
      <c r="L15" s="542"/>
      <c r="M15" s="542"/>
      <c r="N15" s="542"/>
      <c r="O15" s="438"/>
      <c r="P15" s="447"/>
      <c r="Q15" s="438"/>
      <c r="R15" s="557"/>
      <c r="S15" s="438"/>
      <c r="T15" s="438"/>
      <c r="U15" s="438"/>
      <c r="V15" s="438"/>
      <c r="W15" s="438"/>
      <c r="X15" s="438"/>
      <c r="Y15" s="438"/>
      <c r="Z15" s="438"/>
      <c r="AA15" s="438"/>
      <c r="AB15" s="438"/>
    </row>
    <row r="16" spans="1:99" s="344" customFormat="1" ht="20.100000000000001" customHeight="1" x14ac:dyDescent="0.3">
      <c r="A16" s="431"/>
      <c r="B16" s="406" t="s">
        <v>188</v>
      </c>
      <c r="C16" s="329" t="s">
        <v>47</v>
      </c>
      <c r="D16" s="407">
        <f>IF(C16="yes",1,0)</f>
        <v>1</v>
      </c>
      <c r="E16" s="400"/>
      <c r="F16" s="443"/>
      <c r="G16" s="443"/>
      <c r="H16" s="443"/>
      <c r="I16" s="443"/>
      <c r="J16" s="443"/>
      <c r="K16" s="443"/>
      <c r="L16" s="443"/>
      <c r="M16" s="443"/>
      <c r="N16" s="443"/>
      <c r="O16" s="438"/>
      <c r="P16" s="447"/>
      <c r="Q16" s="438"/>
      <c r="R16" s="557"/>
      <c r="S16" s="438"/>
      <c r="T16" s="438"/>
      <c r="U16" s="438"/>
      <c r="V16" s="438"/>
      <c r="W16" s="438"/>
      <c r="X16" s="438"/>
      <c r="Y16" s="438"/>
      <c r="Z16" s="438"/>
      <c r="AA16" s="438"/>
      <c r="AB16" s="438"/>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c r="AZ16" s="442"/>
      <c r="BA16" s="442"/>
      <c r="BB16" s="442"/>
      <c r="BC16" s="442"/>
      <c r="BD16" s="442"/>
      <c r="BE16" s="442"/>
      <c r="BF16" s="442"/>
      <c r="BG16" s="442"/>
      <c r="BH16" s="442"/>
      <c r="BI16" s="442"/>
      <c r="BJ16" s="442"/>
      <c r="BK16" s="442"/>
      <c r="BL16" s="442"/>
      <c r="BM16" s="442"/>
      <c r="BN16" s="442"/>
      <c r="BO16" s="442"/>
      <c r="BP16" s="442"/>
      <c r="BQ16" s="442"/>
      <c r="BR16" s="442"/>
      <c r="BS16" s="442"/>
      <c r="BT16" s="442"/>
      <c r="BU16" s="442"/>
      <c r="BV16" s="442"/>
      <c r="BW16" s="442"/>
      <c r="BX16" s="442"/>
      <c r="BY16" s="442"/>
      <c r="BZ16" s="442"/>
      <c r="CA16" s="442"/>
      <c r="CB16" s="442"/>
      <c r="CC16" s="442"/>
      <c r="CD16" s="442"/>
      <c r="CE16" s="442"/>
      <c r="CF16" s="442"/>
      <c r="CG16" s="442"/>
      <c r="CH16" s="442"/>
      <c r="CI16" s="442"/>
      <c r="CJ16" s="442"/>
      <c r="CK16" s="442"/>
      <c r="CL16" s="442"/>
      <c r="CM16" s="442"/>
      <c r="CN16" s="442"/>
      <c r="CO16" s="442"/>
      <c r="CP16" s="442"/>
      <c r="CQ16" s="442"/>
      <c r="CR16" s="442"/>
      <c r="CS16" s="442"/>
      <c r="CT16" s="442"/>
      <c r="CU16" s="442"/>
    </row>
    <row r="17" spans="1:99" ht="20.100000000000001" customHeight="1" x14ac:dyDescent="0.3">
      <c r="A17" s="431"/>
      <c r="B17" s="408" t="s">
        <v>72</v>
      </c>
      <c r="C17" s="410">
        <f>D17</f>
        <v>0</v>
      </c>
      <c r="D17" s="522">
        <f>IF(C6=B23,(C7/46*(D12*D11*D6)),IF(C6=B24,D8/46*D12*D6,(C7+D8+D9)/46*(D12*D11*D6)))</f>
        <v>0</v>
      </c>
      <c r="E17" s="523" t="s">
        <v>73</v>
      </c>
      <c r="F17" s="542"/>
      <c r="G17" s="542"/>
      <c r="H17" s="542"/>
      <c r="I17" s="542"/>
      <c r="J17" s="542"/>
      <c r="K17" s="542"/>
      <c r="L17" s="542"/>
      <c r="M17" s="542"/>
      <c r="N17" s="542"/>
      <c r="O17" s="438"/>
      <c r="P17" s="447"/>
      <c r="Q17" s="438"/>
      <c r="R17" s="557"/>
      <c r="S17" s="438"/>
      <c r="T17" s="438"/>
      <c r="U17" s="438"/>
      <c r="V17" s="438"/>
      <c r="W17" s="438"/>
      <c r="X17" s="438"/>
      <c r="Y17" s="438"/>
      <c r="Z17" s="438"/>
      <c r="AA17" s="438"/>
      <c r="AB17" s="438"/>
    </row>
    <row r="18" spans="1:99" s="436" customFormat="1" ht="20.100000000000001" customHeight="1" x14ac:dyDescent="0.3">
      <c r="A18" s="431"/>
      <c r="B18" s="526"/>
      <c r="C18" s="527"/>
      <c r="D18" s="520"/>
      <c r="E18" s="521"/>
      <c r="F18" s="498"/>
      <c r="G18" s="498"/>
      <c r="H18" s="498"/>
      <c r="I18" s="498"/>
      <c r="J18" s="498"/>
      <c r="K18" s="498"/>
      <c r="L18" s="498"/>
      <c r="M18" s="498"/>
      <c r="N18" s="498"/>
      <c r="O18" s="503"/>
      <c r="P18" s="498"/>
      <c r="Q18" s="528"/>
      <c r="R18" s="529"/>
      <c r="S18" s="498"/>
      <c r="T18" s="431"/>
      <c r="U18" s="431"/>
      <c r="V18" s="431"/>
      <c r="W18" s="431"/>
      <c r="X18" s="431"/>
      <c r="Y18" s="431"/>
      <c r="Z18" s="431"/>
      <c r="AA18" s="431"/>
      <c r="AB18" s="431"/>
      <c r="AC18" s="431"/>
    </row>
    <row r="19" spans="1:99" s="436" customFormat="1" ht="20.100000000000001" customHeight="1" x14ac:dyDescent="0.3">
      <c r="A19" s="431"/>
      <c r="B19" s="530"/>
      <c r="C19" s="531"/>
      <c r="D19" s="532"/>
      <c r="E19" s="532"/>
      <c r="F19" s="510"/>
      <c r="G19" s="510"/>
      <c r="H19" s="510"/>
      <c r="I19" s="510"/>
      <c r="J19" s="510"/>
      <c r="K19" s="510"/>
      <c r="L19" s="510"/>
      <c r="M19" s="510"/>
      <c r="N19" s="510"/>
      <c r="O19" s="498"/>
      <c r="P19" s="498"/>
      <c r="Q19" s="528"/>
      <c r="R19" s="533"/>
      <c r="S19" s="431"/>
      <c r="T19" s="431"/>
      <c r="U19" s="431"/>
      <c r="V19" s="431"/>
      <c r="W19" s="431"/>
      <c r="X19" s="431"/>
      <c r="Y19" s="431"/>
      <c r="Z19" s="431"/>
      <c r="AA19" s="431"/>
      <c r="AB19" s="431"/>
    </row>
    <row r="20" spans="1:99" s="442" customFormat="1" ht="20.100000000000001" customHeight="1" x14ac:dyDescent="0.3">
      <c r="A20" s="438"/>
      <c r="B20" s="438"/>
      <c r="C20" s="438"/>
      <c r="D20" s="534"/>
      <c r="E20" s="534"/>
      <c r="F20" s="510"/>
      <c r="G20" s="510"/>
      <c r="H20" s="510"/>
      <c r="I20" s="510"/>
      <c r="J20" s="510"/>
      <c r="K20" s="510"/>
      <c r="L20" s="510"/>
      <c r="M20" s="510"/>
      <c r="N20" s="510"/>
      <c r="O20" s="446"/>
      <c r="P20" s="446"/>
      <c r="Q20" s="447"/>
      <c r="R20" s="491"/>
      <c r="S20" s="535"/>
      <c r="T20" s="438"/>
      <c r="U20" s="438"/>
      <c r="V20" s="438"/>
      <c r="W20" s="438"/>
      <c r="X20" s="438"/>
      <c r="Y20" s="438"/>
      <c r="Z20" s="438"/>
      <c r="AA20" s="438"/>
      <c r="AB20" s="438"/>
    </row>
    <row r="21" spans="1:99" ht="20.100000000000001" customHeight="1" x14ac:dyDescent="0.35">
      <c r="A21" s="438"/>
      <c r="B21" s="263" t="s">
        <v>155</v>
      </c>
      <c r="C21" s="259"/>
      <c r="D21" s="438"/>
      <c r="E21" s="438"/>
      <c r="F21" s="438"/>
      <c r="G21" s="438"/>
      <c r="H21" s="438"/>
      <c r="I21" s="438"/>
      <c r="J21" s="438"/>
      <c r="K21" s="438"/>
      <c r="L21" s="438"/>
      <c r="M21" s="438"/>
      <c r="N21" s="438"/>
      <c r="O21" s="498"/>
      <c r="P21" s="446"/>
      <c r="Q21" s="448"/>
      <c r="R21" s="446"/>
      <c r="S21" s="438"/>
      <c r="T21" s="438"/>
      <c r="U21" s="431"/>
      <c r="V21" s="431"/>
      <c r="W21" s="431"/>
      <c r="X21" s="431"/>
      <c r="Y21" s="431"/>
      <c r="Z21" s="431"/>
      <c r="AA21" s="431"/>
      <c r="AB21" s="431"/>
    </row>
    <row r="22" spans="1:99" ht="20.100000000000001" customHeight="1" x14ac:dyDescent="0.3">
      <c r="A22" s="438"/>
      <c r="B22" s="199" t="s">
        <v>71</v>
      </c>
      <c r="C22" s="198"/>
      <c r="D22" s="431"/>
      <c r="E22" s="510"/>
      <c r="F22" s="543"/>
      <c r="G22" s="543"/>
      <c r="H22" s="543"/>
      <c r="I22" s="543"/>
      <c r="J22" s="543"/>
      <c r="K22" s="543"/>
      <c r="L22" s="543"/>
      <c r="M22" s="543"/>
      <c r="N22" s="543"/>
      <c r="O22" s="498"/>
      <c r="P22" s="498"/>
      <c r="Q22" s="528"/>
      <c r="R22" s="498"/>
      <c r="S22" s="431"/>
      <c r="T22" s="431"/>
      <c r="U22" s="431"/>
      <c r="V22" s="431"/>
      <c r="W22" s="431"/>
      <c r="X22" s="431"/>
      <c r="Y22" s="431"/>
      <c r="Z22" s="431"/>
      <c r="AA22" s="431"/>
      <c r="AB22" s="431"/>
      <c r="AC22" s="436"/>
      <c r="AD22" s="436"/>
      <c r="AE22" s="436"/>
    </row>
    <row r="23" spans="1:99" s="197" customFormat="1" ht="20.100000000000001" customHeight="1" x14ac:dyDescent="0.3">
      <c r="A23" s="438"/>
      <c r="B23" s="201" t="s">
        <v>75</v>
      </c>
      <c r="C23" s="202">
        <v>1</v>
      </c>
      <c r="D23" s="431"/>
      <c r="E23" s="441"/>
      <c r="F23" s="506"/>
      <c r="G23" s="506"/>
      <c r="H23" s="506"/>
      <c r="I23" s="506"/>
      <c r="J23" s="506"/>
      <c r="K23" s="506"/>
      <c r="L23" s="506"/>
      <c r="M23" s="506"/>
      <c r="N23" s="506"/>
      <c r="O23" s="498"/>
      <c r="P23" s="620" t="s">
        <v>49</v>
      </c>
      <c r="Q23" s="621"/>
      <c r="R23" s="558"/>
      <c r="S23" s="558"/>
      <c r="T23" s="558"/>
      <c r="U23" s="558"/>
      <c r="V23" s="431"/>
      <c r="W23" s="431"/>
      <c r="X23" s="431"/>
      <c r="Y23" s="431"/>
      <c r="Z23" s="431"/>
      <c r="AA23" s="431"/>
      <c r="AB23" s="431"/>
      <c r="AC23" s="436"/>
      <c r="AD23" s="436"/>
      <c r="AE23" s="436"/>
      <c r="AF23" s="442"/>
      <c r="AG23" s="442"/>
      <c r="AH23" s="442"/>
      <c r="AI23" s="442"/>
      <c r="AJ23" s="442"/>
      <c r="AK23" s="442"/>
      <c r="AL23" s="442"/>
      <c r="AM23" s="442"/>
      <c r="AN23" s="442"/>
      <c r="AO23" s="442"/>
      <c r="AP23" s="442"/>
      <c r="AQ23" s="442"/>
      <c r="AR23" s="442"/>
      <c r="AS23" s="442"/>
      <c r="AT23" s="442"/>
      <c r="AU23" s="442"/>
      <c r="AV23" s="442"/>
      <c r="AW23" s="442"/>
      <c r="AX23" s="442"/>
      <c r="AY23" s="442"/>
      <c r="AZ23" s="442"/>
      <c r="BA23" s="442"/>
      <c r="BB23" s="442"/>
      <c r="BC23" s="442"/>
      <c r="BD23" s="442"/>
      <c r="BE23" s="442"/>
      <c r="BF23" s="442"/>
      <c r="BG23" s="442"/>
      <c r="BH23" s="442"/>
      <c r="BI23" s="442"/>
      <c r="BJ23" s="442"/>
      <c r="BK23" s="442"/>
      <c r="BL23" s="442"/>
      <c r="BM23" s="442"/>
      <c r="BN23" s="442"/>
      <c r="BO23" s="442"/>
      <c r="BP23" s="442"/>
      <c r="BQ23" s="442"/>
      <c r="BR23" s="442"/>
      <c r="BS23" s="442"/>
      <c r="BT23" s="442"/>
      <c r="BU23" s="442"/>
      <c r="BV23" s="442"/>
      <c r="BW23" s="442"/>
      <c r="BX23" s="442"/>
      <c r="BY23" s="442"/>
      <c r="BZ23" s="442"/>
      <c r="CA23" s="442"/>
      <c r="CB23" s="442"/>
      <c r="CC23" s="442"/>
      <c r="CD23" s="442"/>
      <c r="CE23" s="442"/>
      <c r="CF23" s="442"/>
      <c r="CG23" s="442"/>
      <c r="CH23" s="442"/>
      <c r="CI23" s="442"/>
      <c r="CJ23" s="442"/>
      <c r="CK23" s="442"/>
      <c r="CL23" s="442"/>
      <c r="CM23" s="442"/>
      <c r="CN23" s="442"/>
      <c r="CO23" s="442"/>
      <c r="CP23" s="442"/>
      <c r="CQ23" s="442"/>
      <c r="CR23" s="442"/>
      <c r="CS23" s="442"/>
      <c r="CT23" s="442"/>
      <c r="CU23" s="442"/>
    </row>
    <row r="24" spans="1:99" s="197" customFormat="1" ht="20.25" customHeight="1" x14ac:dyDescent="0.3">
      <c r="A24" s="438"/>
      <c r="B24" s="201" t="s">
        <v>80</v>
      </c>
      <c r="C24" s="202">
        <v>1</v>
      </c>
      <c r="D24" s="551"/>
      <c r="E24" s="487"/>
      <c r="F24" s="544"/>
      <c r="G24" s="544"/>
      <c r="H24" s="544"/>
      <c r="I24" s="544"/>
      <c r="J24" s="544"/>
      <c r="K24" s="544"/>
      <c r="L24" s="544"/>
      <c r="M24" s="544"/>
      <c r="N24" s="544"/>
      <c r="O24" s="431"/>
      <c r="P24" s="576" t="s">
        <v>50</v>
      </c>
      <c r="Q24" s="577" t="s">
        <v>223</v>
      </c>
      <c r="R24" s="528"/>
      <c r="S24" s="498"/>
      <c r="T24" s="431"/>
      <c r="U24" s="431"/>
      <c r="V24" s="431"/>
      <c r="W24" s="431"/>
      <c r="X24" s="431"/>
      <c r="Y24" s="431"/>
      <c r="Z24" s="431"/>
      <c r="AA24" s="431"/>
      <c r="AB24" s="431"/>
      <c r="AC24" s="431"/>
      <c r="AD24" s="436"/>
      <c r="AE24" s="436"/>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2"/>
      <c r="BG24" s="442"/>
      <c r="BH24" s="442"/>
      <c r="BI24" s="442"/>
      <c r="BJ24" s="442"/>
      <c r="BK24" s="442"/>
      <c r="BL24" s="442"/>
      <c r="BM24" s="442"/>
      <c r="BN24" s="442"/>
      <c r="BO24" s="442"/>
      <c r="BP24" s="442"/>
      <c r="BQ24" s="442"/>
      <c r="BR24" s="442"/>
      <c r="BS24" s="442"/>
      <c r="BT24" s="442"/>
      <c r="BU24" s="442"/>
      <c r="BV24" s="442"/>
      <c r="BW24" s="442"/>
      <c r="BX24" s="442"/>
      <c r="BY24" s="442"/>
      <c r="BZ24" s="442"/>
      <c r="CA24" s="442"/>
      <c r="CB24" s="442"/>
      <c r="CC24" s="442"/>
      <c r="CD24" s="442"/>
      <c r="CE24" s="442"/>
      <c r="CF24" s="442"/>
      <c r="CG24" s="442"/>
      <c r="CH24" s="442"/>
      <c r="CI24" s="442"/>
      <c r="CJ24" s="442"/>
      <c r="CK24" s="442"/>
      <c r="CL24" s="442"/>
      <c r="CM24" s="442"/>
      <c r="CN24" s="442"/>
      <c r="CO24" s="442"/>
      <c r="CP24" s="442"/>
      <c r="CQ24" s="442"/>
      <c r="CR24" s="442"/>
      <c r="CS24" s="442"/>
      <c r="CT24" s="442"/>
      <c r="CU24" s="442"/>
    </row>
    <row r="25" spans="1:99" ht="15.6" x14ac:dyDescent="0.3">
      <c r="A25" s="438"/>
      <c r="B25" s="203" t="s">
        <v>107</v>
      </c>
      <c r="C25" s="204">
        <v>1</v>
      </c>
      <c r="D25" s="551"/>
      <c r="E25" s="487"/>
      <c r="F25" s="545"/>
      <c r="G25" s="545"/>
      <c r="H25" s="545"/>
      <c r="I25" s="545"/>
      <c r="J25" s="545"/>
      <c r="K25" s="545"/>
      <c r="L25" s="545"/>
      <c r="M25" s="545"/>
      <c r="N25" s="545"/>
      <c r="O25" s="431"/>
      <c r="P25" s="578">
        <v>0</v>
      </c>
      <c r="Q25" s="579">
        <v>0</v>
      </c>
      <c r="R25" s="528"/>
      <c r="S25" s="498"/>
      <c r="T25" s="431"/>
      <c r="U25" s="431"/>
      <c r="V25" s="431"/>
      <c r="W25" s="431"/>
      <c r="X25" s="431"/>
      <c r="Y25" s="431"/>
      <c r="Z25" s="431"/>
      <c r="AA25" s="431"/>
      <c r="AB25" s="431"/>
      <c r="AC25" s="431"/>
      <c r="AD25" s="436"/>
      <c r="AE25" s="436"/>
    </row>
    <row r="26" spans="1:99" s="197" customFormat="1" x14ac:dyDescent="0.3">
      <c r="A26" s="438"/>
      <c r="B26" s="195"/>
      <c r="C26" s="235"/>
      <c r="D26" s="551"/>
      <c r="E26" s="552"/>
      <c r="F26" s="546"/>
      <c r="G26" s="546"/>
      <c r="H26" s="546"/>
      <c r="I26" s="546"/>
      <c r="J26" s="546"/>
      <c r="K26" s="546"/>
      <c r="L26" s="546"/>
      <c r="M26" s="546"/>
      <c r="N26" s="546"/>
      <c r="O26" s="431"/>
      <c r="P26" s="578">
        <v>8</v>
      </c>
      <c r="Q26" s="579">
        <v>0.25</v>
      </c>
      <c r="R26" s="528"/>
      <c r="S26" s="498"/>
      <c r="T26" s="431"/>
      <c r="U26" s="431"/>
      <c r="V26" s="431"/>
      <c r="W26" s="431"/>
      <c r="X26" s="431"/>
      <c r="Y26" s="431"/>
      <c r="Z26" s="431"/>
      <c r="AA26" s="431"/>
      <c r="AB26" s="431"/>
      <c r="AC26" s="431"/>
      <c r="AD26" s="436"/>
      <c r="AE26" s="436"/>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2"/>
      <c r="BM26" s="442"/>
      <c r="BN26" s="442"/>
      <c r="BO26" s="442"/>
      <c r="BP26" s="442"/>
      <c r="BQ26" s="442"/>
      <c r="BR26" s="442"/>
      <c r="BS26" s="442"/>
      <c r="BT26" s="442"/>
      <c r="BU26" s="442"/>
      <c r="BV26" s="442"/>
      <c r="BW26" s="442"/>
      <c r="BX26" s="442"/>
      <c r="BY26" s="442"/>
      <c r="BZ26" s="442"/>
      <c r="CA26" s="442"/>
      <c r="CB26" s="442"/>
      <c r="CC26" s="442"/>
      <c r="CD26" s="442"/>
      <c r="CE26" s="442"/>
      <c r="CF26" s="442"/>
      <c r="CG26" s="442"/>
      <c r="CH26" s="442"/>
      <c r="CI26" s="442"/>
      <c r="CJ26" s="442"/>
      <c r="CK26" s="442"/>
      <c r="CL26" s="442"/>
      <c r="CM26" s="442"/>
      <c r="CN26" s="442"/>
      <c r="CO26" s="442"/>
      <c r="CP26" s="442"/>
      <c r="CQ26" s="442"/>
      <c r="CR26" s="442"/>
      <c r="CS26" s="442"/>
      <c r="CT26" s="442"/>
      <c r="CU26" s="442"/>
    </row>
    <row r="27" spans="1:99" ht="15.75" customHeight="1" x14ac:dyDescent="0.3">
      <c r="A27" s="438"/>
      <c r="B27" s="324" t="s">
        <v>160</v>
      </c>
      <c r="C27" s="325"/>
      <c r="D27" s="551"/>
      <c r="E27" s="488"/>
      <c r="F27" s="547"/>
      <c r="G27" s="547"/>
      <c r="H27" s="547"/>
      <c r="I27" s="547"/>
      <c r="J27" s="547"/>
      <c r="K27" s="547"/>
      <c r="L27" s="547"/>
      <c r="M27" s="547"/>
      <c r="N27" s="547"/>
      <c r="O27" s="431"/>
      <c r="P27" s="578">
        <v>25</v>
      </c>
      <c r="Q27" s="579">
        <v>0.5</v>
      </c>
      <c r="R27" s="528"/>
      <c r="S27" s="498"/>
      <c r="T27" s="431"/>
      <c r="U27" s="431"/>
      <c r="V27" s="431"/>
      <c r="W27" s="431"/>
      <c r="X27" s="431"/>
      <c r="Y27" s="431"/>
      <c r="Z27" s="431"/>
      <c r="AA27" s="431"/>
      <c r="AB27" s="431"/>
      <c r="AC27" s="431"/>
      <c r="AD27" s="436"/>
      <c r="AE27" s="436"/>
    </row>
    <row r="28" spans="1:99" ht="15.75" customHeight="1" x14ac:dyDescent="0.3">
      <c r="A28" s="438"/>
      <c r="B28" s="326" t="s">
        <v>47</v>
      </c>
      <c r="C28" s="238">
        <v>1</v>
      </c>
      <c r="D28" s="553"/>
      <c r="E28" s="548"/>
      <c r="O28" s="431"/>
      <c r="P28" s="578">
        <v>37</v>
      </c>
      <c r="Q28" s="579">
        <v>0.75</v>
      </c>
      <c r="R28" s="431"/>
      <c r="S28" s="431"/>
      <c r="T28" s="431"/>
      <c r="U28" s="431"/>
      <c r="V28" s="431"/>
      <c r="W28" s="431"/>
      <c r="X28" s="431"/>
      <c r="Y28" s="431"/>
      <c r="Z28" s="431"/>
      <c r="AA28" s="431"/>
      <c r="AB28" s="431"/>
      <c r="AC28" s="431"/>
      <c r="AD28" s="436"/>
      <c r="AE28" s="436"/>
    </row>
    <row r="29" spans="1:99" ht="15.6" x14ac:dyDescent="0.3">
      <c r="A29" s="438"/>
      <c r="B29" s="351" t="s">
        <v>48</v>
      </c>
      <c r="C29" s="347">
        <v>0</v>
      </c>
      <c r="D29" s="478"/>
      <c r="E29" s="554"/>
      <c r="F29" s="510"/>
      <c r="G29" s="510"/>
      <c r="H29" s="510"/>
      <c r="I29" s="510"/>
      <c r="J29" s="510"/>
      <c r="K29" s="510"/>
      <c r="L29" s="510"/>
      <c r="M29" s="510"/>
      <c r="N29" s="510"/>
      <c r="O29" s="431"/>
      <c r="P29" s="580">
        <v>50</v>
      </c>
      <c r="Q29" s="581">
        <v>1</v>
      </c>
      <c r="R29" s="528"/>
      <c r="S29" s="431"/>
      <c r="T29" s="431"/>
      <c r="U29" s="431"/>
      <c r="V29" s="431"/>
      <c r="W29" s="431"/>
      <c r="X29" s="431"/>
      <c r="Y29" s="431"/>
      <c r="Z29" s="431"/>
      <c r="AA29" s="431"/>
      <c r="AB29" s="431"/>
      <c r="AC29" s="431"/>
      <c r="AD29" s="436"/>
      <c r="AE29" s="436"/>
    </row>
    <row r="30" spans="1:99" ht="15.6" x14ac:dyDescent="0.3">
      <c r="A30" s="438"/>
      <c r="B30" s="236"/>
      <c r="C30" s="234"/>
      <c r="D30" s="478"/>
      <c r="E30" s="554"/>
      <c r="F30" s="510"/>
      <c r="G30" s="510"/>
      <c r="H30" s="510"/>
      <c r="I30" s="510"/>
      <c r="J30" s="510"/>
      <c r="K30" s="510"/>
      <c r="L30" s="510"/>
      <c r="M30" s="510"/>
      <c r="N30" s="510"/>
      <c r="O30" s="431"/>
      <c r="P30" s="449"/>
      <c r="Q30" s="498"/>
      <c r="R30" s="528"/>
      <c r="S30" s="438"/>
      <c r="T30" s="438"/>
      <c r="U30" s="438"/>
      <c r="V30" s="431"/>
      <c r="W30" s="431"/>
      <c r="X30" s="431"/>
      <c r="Y30" s="431"/>
      <c r="Z30" s="431"/>
      <c r="AA30" s="431"/>
      <c r="AB30" s="431"/>
      <c r="AC30" s="431"/>
      <c r="AD30" s="436"/>
      <c r="AE30" s="436"/>
    </row>
    <row r="31" spans="1:99" s="197" customFormat="1" ht="15.6" x14ac:dyDescent="0.3">
      <c r="A31" s="438"/>
      <c r="B31" s="128" t="s">
        <v>91</v>
      </c>
      <c r="C31" s="198"/>
      <c r="D31" s="478"/>
      <c r="E31" s="554"/>
      <c r="F31" s="431"/>
      <c r="G31" s="431"/>
      <c r="H31" s="431"/>
      <c r="I31" s="431"/>
      <c r="J31" s="431"/>
      <c r="K31" s="431"/>
      <c r="L31" s="431"/>
      <c r="M31" s="431"/>
      <c r="N31" s="431"/>
      <c r="O31" s="431"/>
      <c r="P31" s="449"/>
      <c r="Q31" s="431"/>
      <c r="R31" s="528"/>
      <c r="S31" s="438"/>
      <c r="T31" s="438"/>
      <c r="U31" s="438"/>
      <c r="V31" s="438"/>
      <c r="W31" s="438"/>
      <c r="X31" s="438"/>
      <c r="Y31" s="438"/>
      <c r="Z31" s="438"/>
      <c r="AA31" s="438"/>
      <c r="AB31" s="438"/>
      <c r="AC31" s="438"/>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c r="BE31" s="442"/>
      <c r="BF31" s="442"/>
      <c r="BG31" s="442"/>
      <c r="BH31" s="442"/>
      <c r="BI31" s="442"/>
      <c r="BJ31" s="442"/>
      <c r="BK31" s="442"/>
      <c r="BL31" s="442"/>
      <c r="BM31" s="442"/>
      <c r="BN31" s="442"/>
      <c r="BO31" s="442"/>
      <c r="BP31" s="442"/>
      <c r="BQ31" s="442"/>
      <c r="BR31" s="442"/>
      <c r="BS31" s="442"/>
      <c r="BT31" s="442"/>
      <c r="BU31" s="442"/>
      <c r="BV31" s="442"/>
      <c r="BW31" s="442"/>
      <c r="BX31" s="442"/>
      <c r="BY31" s="442"/>
      <c r="BZ31" s="442"/>
      <c r="CA31" s="442"/>
      <c r="CB31" s="442"/>
      <c r="CC31" s="442"/>
      <c r="CD31" s="442"/>
      <c r="CE31" s="442"/>
      <c r="CF31" s="442"/>
      <c r="CG31" s="442"/>
      <c r="CH31" s="442"/>
      <c r="CI31" s="442"/>
      <c r="CJ31" s="442"/>
      <c r="CK31" s="442"/>
      <c r="CL31" s="442"/>
      <c r="CM31" s="442"/>
      <c r="CN31" s="442"/>
      <c r="CO31" s="442"/>
      <c r="CP31" s="442"/>
      <c r="CQ31" s="442"/>
      <c r="CR31" s="442"/>
      <c r="CS31" s="442"/>
      <c r="CT31" s="442"/>
      <c r="CU31" s="442"/>
    </row>
    <row r="32" spans="1:99" s="267" customFormat="1" ht="20.25" customHeight="1" x14ac:dyDescent="0.3">
      <c r="A32" s="525"/>
      <c r="B32" s="201" t="s">
        <v>251</v>
      </c>
      <c r="C32" s="518">
        <v>4</v>
      </c>
      <c r="D32" s="431"/>
      <c r="E32" s="451"/>
      <c r="F32" s="548"/>
      <c r="G32" s="548"/>
      <c r="H32" s="548"/>
      <c r="I32" s="548"/>
      <c r="J32" s="548"/>
      <c r="K32" s="548"/>
      <c r="L32" s="548"/>
      <c r="M32" s="548"/>
      <c r="N32" s="548"/>
      <c r="O32" s="553"/>
      <c r="P32" s="559"/>
      <c r="Q32" s="559"/>
      <c r="R32" s="559"/>
      <c r="S32" s="559"/>
      <c r="T32" s="559"/>
      <c r="U32" s="559"/>
      <c r="V32" s="525"/>
      <c r="W32" s="525"/>
      <c r="X32" s="525"/>
      <c r="Y32" s="525"/>
      <c r="Z32" s="525"/>
      <c r="AA32" s="525"/>
      <c r="AB32" s="525"/>
      <c r="AC32" s="525"/>
      <c r="AD32" s="559"/>
      <c r="AE32" s="559"/>
      <c r="AF32" s="559"/>
      <c r="AG32" s="559"/>
      <c r="AH32" s="559"/>
      <c r="AI32" s="559"/>
      <c r="AJ32" s="559"/>
      <c r="AK32" s="559"/>
      <c r="AL32" s="559"/>
      <c r="AM32" s="559"/>
      <c r="AN32" s="559"/>
      <c r="AO32" s="559"/>
      <c r="AP32" s="559"/>
      <c r="AQ32" s="559"/>
      <c r="AR32" s="559"/>
      <c r="AS32" s="559"/>
      <c r="AT32" s="559"/>
      <c r="AU32" s="559"/>
      <c r="AV32" s="559"/>
      <c r="AW32" s="559"/>
      <c r="AX32" s="559"/>
      <c r="AY32" s="559"/>
      <c r="AZ32" s="559"/>
      <c r="BA32" s="559"/>
      <c r="BB32" s="559"/>
      <c r="BC32" s="559"/>
      <c r="BD32" s="559"/>
      <c r="BE32" s="559"/>
      <c r="BF32" s="559"/>
      <c r="BG32" s="559"/>
      <c r="BH32" s="559"/>
      <c r="BI32" s="559"/>
      <c r="BJ32" s="559"/>
      <c r="BK32" s="559"/>
      <c r="BL32" s="559"/>
      <c r="BM32" s="559"/>
      <c r="BN32" s="559"/>
      <c r="BO32" s="559"/>
      <c r="BP32" s="559"/>
      <c r="BQ32" s="559"/>
      <c r="BR32" s="559"/>
      <c r="BS32" s="559"/>
      <c r="BT32" s="559"/>
      <c r="BU32" s="559"/>
      <c r="BV32" s="559"/>
      <c r="BW32" s="559"/>
      <c r="BX32" s="559"/>
      <c r="BY32" s="559"/>
      <c r="BZ32" s="559"/>
      <c r="CA32" s="559"/>
      <c r="CB32" s="559"/>
      <c r="CC32" s="559"/>
      <c r="CD32" s="559"/>
      <c r="CE32" s="559"/>
      <c r="CF32" s="559"/>
      <c r="CG32" s="559"/>
      <c r="CH32" s="559"/>
      <c r="CI32" s="559"/>
      <c r="CJ32" s="559"/>
      <c r="CK32" s="559"/>
      <c r="CL32" s="559"/>
      <c r="CM32" s="559"/>
      <c r="CN32" s="559"/>
      <c r="CO32" s="559"/>
      <c r="CP32" s="559"/>
      <c r="CQ32" s="559"/>
      <c r="CR32" s="559"/>
      <c r="CS32" s="559"/>
      <c r="CT32" s="559"/>
      <c r="CU32" s="559"/>
    </row>
    <row r="33" spans="1:99" s="266" customFormat="1" ht="16.5" customHeight="1" x14ac:dyDescent="0.3">
      <c r="A33" s="477"/>
      <c r="B33" s="201" t="s">
        <v>252</v>
      </c>
      <c r="C33" s="519">
        <v>1</v>
      </c>
      <c r="D33" s="431"/>
      <c r="E33" s="549"/>
      <c r="F33" s="478"/>
      <c r="G33" s="478"/>
      <c r="H33" s="478"/>
      <c r="I33" s="478"/>
      <c r="J33" s="478"/>
      <c r="K33" s="478"/>
      <c r="L33" s="478"/>
      <c r="M33" s="478"/>
      <c r="N33" s="478"/>
      <c r="O33" s="478"/>
      <c r="P33" s="18" t="s">
        <v>44</v>
      </c>
      <c r="Q33" s="19" t="s">
        <v>50</v>
      </c>
      <c r="R33" s="19" t="s">
        <v>224</v>
      </c>
      <c r="S33" s="383" t="s">
        <v>51</v>
      </c>
      <c r="T33" s="477"/>
      <c r="U33" s="477"/>
      <c r="V33" s="477"/>
      <c r="W33" s="477"/>
      <c r="X33" s="477"/>
      <c r="Y33" s="477"/>
      <c r="Z33" s="477"/>
      <c r="AA33" s="477"/>
      <c r="AB33" s="560"/>
      <c r="AC33" s="560"/>
      <c r="AD33" s="560"/>
      <c r="AE33" s="560"/>
      <c r="AF33" s="560"/>
      <c r="AG33" s="560"/>
      <c r="AH33" s="560"/>
      <c r="AI33" s="560"/>
      <c r="AJ33" s="560"/>
      <c r="AK33" s="560"/>
      <c r="AL33" s="560"/>
      <c r="AM33" s="560"/>
      <c r="AN33" s="560"/>
      <c r="AO33" s="560"/>
      <c r="AP33" s="560"/>
      <c r="AQ33" s="560"/>
      <c r="AR33" s="560"/>
      <c r="AS33" s="560"/>
      <c r="AT33" s="560"/>
      <c r="AU33" s="560"/>
      <c r="AV33" s="560"/>
      <c r="AW33" s="560"/>
      <c r="AX33" s="560"/>
      <c r="AY33" s="560"/>
      <c r="AZ33" s="560"/>
      <c r="BA33" s="560"/>
      <c r="BB33" s="560"/>
      <c r="BC33" s="560"/>
      <c r="BD33" s="560"/>
      <c r="BE33" s="560"/>
      <c r="BF33" s="560"/>
      <c r="BG33" s="560"/>
      <c r="BH33" s="560"/>
      <c r="BI33" s="560"/>
      <c r="BJ33" s="560"/>
      <c r="BK33" s="560"/>
      <c r="BL33" s="560"/>
      <c r="BM33" s="560"/>
      <c r="BN33" s="560"/>
      <c r="BO33" s="560"/>
      <c r="BP33" s="560"/>
      <c r="BQ33" s="560"/>
      <c r="BR33" s="560"/>
      <c r="BS33" s="560"/>
      <c r="BT33" s="560"/>
      <c r="BU33" s="560"/>
      <c r="BV33" s="560"/>
      <c r="BW33" s="560"/>
      <c r="BX33" s="560"/>
      <c r="BY33" s="560"/>
      <c r="BZ33" s="560"/>
      <c r="CA33" s="560"/>
      <c r="CB33" s="560"/>
      <c r="CC33" s="560"/>
      <c r="CD33" s="560"/>
      <c r="CE33" s="560"/>
      <c r="CF33" s="560"/>
      <c r="CG33" s="560"/>
      <c r="CH33" s="560"/>
      <c r="CI33" s="560"/>
      <c r="CJ33" s="560"/>
      <c r="CK33" s="560"/>
      <c r="CL33" s="560"/>
      <c r="CM33" s="560"/>
      <c r="CN33" s="560"/>
      <c r="CO33" s="560"/>
      <c r="CP33" s="560"/>
      <c r="CQ33" s="560"/>
      <c r="CR33" s="560"/>
      <c r="CS33" s="560"/>
      <c r="CT33" s="560"/>
      <c r="CU33" s="560"/>
    </row>
    <row r="34" spans="1:99" s="266" customFormat="1" ht="16.5" customHeight="1" x14ac:dyDescent="0.3">
      <c r="A34" s="477"/>
      <c r="B34" s="201" t="s">
        <v>253</v>
      </c>
      <c r="C34" s="202">
        <v>0.75</v>
      </c>
      <c r="D34" s="431"/>
      <c r="E34" s="549"/>
      <c r="F34" s="478"/>
      <c r="G34" s="478"/>
      <c r="H34" s="478"/>
      <c r="I34" s="478"/>
      <c r="J34" s="478"/>
      <c r="K34" s="478"/>
      <c r="L34" s="478"/>
      <c r="M34" s="478"/>
      <c r="N34" s="478"/>
      <c r="O34" s="478"/>
      <c r="P34" s="515"/>
      <c r="Q34" s="516"/>
      <c r="R34" s="516"/>
      <c r="S34" s="517"/>
      <c r="T34" s="477"/>
      <c r="U34" s="477"/>
      <c r="V34" s="477"/>
      <c r="W34" s="477"/>
      <c r="X34" s="477"/>
      <c r="Y34" s="477"/>
      <c r="Z34" s="477"/>
      <c r="AA34" s="477"/>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0"/>
      <c r="AY34" s="560"/>
      <c r="AZ34" s="560"/>
      <c r="BA34" s="560"/>
      <c r="BB34" s="560"/>
      <c r="BC34" s="560"/>
      <c r="BD34" s="560"/>
      <c r="BE34" s="560"/>
      <c r="BF34" s="560"/>
      <c r="BG34" s="560"/>
      <c r="BH34" s="560"/>
      <c r="BI34" s="560"/>
      <c r="BJ34" s="560"/>
      <c r="BK34" s="560"/>
      <c r="BL34" s="560"/>
      <c r="BM34" s="560"/>
      <c r="BN34" s="560"/>
      <c r="BO34" s="560"/>
      <c r="BP34" s="560"/>
      <c r="BQ34" s="560"/>
      <c r="BR34" s="560"/>
      <c r="BS34" s="560"/>
      <c r="BT34" s="560"/>
      <c r="BU34" s="560"/>
      <c r="BV34" s="560"/>
      <c r="BW34" s="560"/>
      <c r="BX34" s="560"/>
      <c r="BY34" s="560"/>
      <c r="BZ34" s="560"/>
      <c r="CA34" s="560"/>
      <c r="CB34" s="560"/>
      <c r="CC34" s="560"/>
      <c r="CD34" s="560"/>
      <c r="CE34" s="560"/>
      <c r="CF34" s="560"/>
      <c r="CG34" s="560"/>
      <c r="CH34" s="560"/>
      <c r="CI34" s="560"/>
      <c r="CJ34" s="560"/>
      <c r="CK34" s="560"/>
      <c r="CL34" s="560"/>
      <c r="CM34" s="560"/>
      <c r="CN34" s="560"/>
      <c r="CO34" s="560"/>
      <c r="CP34" s="560"/>
      <c r="CQ34" s="560"/>
      <c r="CR34" s="560"/>
      <c r="CS34" s="560"/>
      <c r="CT34" s="560"/>
      <c r="CU34" s="560"/>
    </row>
    <row r="35" spans="1:99" s="266" customFormat="1" ht="15.6" x14ac:dyDescent="0.3">
      <c r="A35" s="477"/>
      <c r="B35" s="203" t="s">
        <v>254</v>
      </c>
      <c r="C35" s="204">
        <v>0</v>
      </c>
      <c r="D35" s="431"/>
      <c r="E35" s="488"/>
      <c r="F35" s="478"/>
      <c r="G35" s="478"/>
      <c r="H35" s="478"/>
      <c r="I35" s="478"/>
      <c r="J35" s="478"/>
      <c r="K35" s="478"/>
      <c r="L35" s="478"/>
      <c r="M35" s="478"/>
      <c r="N35" s="478"/>
      <c r="O35" s="478"/>
      <c r="P35" s="64">
        <f>'Mit-SumHabRst'!$C$4</f>
        <v>0</v>
      </c>
      <c r="Q35" s="570">
        <v>1</v>
      </c>
      <c r="R35" s="571">
        <f>VLOOKUP(Q35,$P$25:$Q$29,2,1)</f>
        <v>0</v>
      </c>
      <c r="S35" s="572">
        <f t="shared" ref="S35:S66" si="0">$C$17*R35</f>
        <v>0</v>
      </c>
      <c r="T35" s="477"/>
      <c r="U35" s="477"/>
      <c r="V35" s="477"/>
      <c r="W35" s="477"/>
      <c r="X35" s="477"/>
      <c r="Y35" s="477"/>
      <c r="Z35" s="477"/>
      <c r="AA35" s="477"/>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560"/>
      <c r="AY35" s="560"/>
      <c r="AZ35" s="560"/>
      <c r="BA35" s="560"/>
      <c r="BB35" s="560"/>
      <c r="BC35" s="560"/>
      <c r="BD35" s="560"/>
      <c r="BE35" s="560"/>
      <c r="BF35" s="560"/>
      <c r="BG35" s="560"/>
      <c r="BH35" s="560"/>
      <c r="BI35" s="560"/>
      <c r="BJ35" s="560"/>
      <c r="BK35" s="560"/>
      <c r="BL35" s="560"/>
      <c r="BM35" s="560"/>
      <c r="BN35" s="560"/>
      <c r="BO35" s="560"/>
      <c r="BP35" s="560"/>
      <c r="BQ35" s="560"/>
      <c r="BR35" s="560"/>
      <c r="BS35" s="560"/>
      <c r="BT35" s="560"/>
      <c r="BU35" s="560"/>
      <c r="BV35" s="560"/>
      <c r="BW35" s="560"/>
      <c r="BX35" s="560"/>
      <c r="BY35" s="560"/>
      <c r="BZ35" s="560"/>
      <c r="CA35" s="560"/>
      <c r="CB35" s="560"/>
      <c r="CC35" s="560"/>
      <c r="CD35" s="560"/>
      <c r="CE35" s="560"/>
      <c r="CF35" s="560"/>
      <c r="CG35" s="560"/>
      <c r="CH35" s="560"/>
      <c r="CI35" s="560"/>
      <c r="CJ35" s="560"/>
      <c r="CK35" s="560"/>
      <c r="CL35" s="560"/>
      <c r="CM35" s="560"/>
      <c r="CN35" s="560"/>
      <c r="CO35" s="560"/>
      <c r="CP35" s="560"/>
      <c r="CQ35" s="560"/>
      <c r="CR35" s="560"/>
      <c r="CS35" s="560"/>
      <c r="CT35" s="560"/>
      <c r="CU35" s="560"/>
    </row>
    <row r="36" spans="1:99" s="266" customFormat="1" ht="15.6" x14ac:dyDescent="0.3">
      <c r="A36" s="477"/>
      <c r="B36" s="196"/>
      <c r="C36" s="196"/>
      <c r="D36" s="431"/>
      <c r="E36" s="488"/>
      <c r="F36" s="478"/>
      <c r="G36" s="478"/>
      <c r="H36" s="478"/>
      <c r="I36" s="478"/>
      <c r="J36" s="478"/>
      <c r="K36" s="478"/>
      <c r="L36" s="478"/>
      <c r="M36" s="478"/>
      <c r="N36" s="478"/>
      <c r="O36" s="478"/>
      <c r="P36" s="16">
        <f>1+P35</f>
        <v>1</v>
      </c>
      <c r="Q36" s="570">
        <f>Q35+1</f>
        <v>2</v>
      </c>
      <c r="R36" s="571">
        <f t="shared" ref="R36:R99" si="1">VLOOKUP(Q36,$P$25:$Q$29,2,1)</f>
        <v>0</v>
      </c>
      <c r="S36" s="572">
        <f t="shared" si="0"/>
        <v>0</v>
      </c>
      <c r="T36" s="477"/>
      <c r="U36" s="477"/>
      <c r="V36" s="477"/>
      <c r="W36" s="477"/>
      <c r="X36" s="477"/>
      <c r="Y36" s="477"/>
      <c r="Z36" s="477"/>
      <c r="AA36" s="477"/>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0"/>
      <c r="BI36" s="560"/>
      <c r="BJ36" s="560"/>
      <c r="BK36" s="560"/>
      <c r="BL36" s="560"/>
      <c r="BM36" s="560"/>
      <c r="BN36" s="560"/>
      <c r="BO36" s="560"/>
      <c r="BP36" s="560"/>
      <c r="BQ36" s="560"/>
      <c r="BR36" s="560"/>
      <c r="BS36" s="560"/>
      <c r="BT36" s="560"/>
      <c r="BU36" s="560"/>
      <c r="BV36" s="560"/>
      <c r="BW36" s="560"/>
      <c r="BX36" s="560"/>
      <c r="BY36" s="560"/>
      <c r="BZ36" s="560"/>
      <c r="CA36" s="560"/>
      <c r="CB36" s="560"/>
      <c r="CC36" s="560"/>
      <c r="CD36" s="560"/>
      <c r="CE36" s="560"/>
      <c r="CF36" s="560"/>
      <c r="CG36" s="560"/>
      <c r="CH36" s="560"/>
      <c r="CI36" s="560"/>
      <c r="CJ36" s="560"/>
      <c r="CK36" s="560"/>
      <c r="CL36" s="560"/>
      <c r="CM36" s="560"/>
      <c r="CN36" s="560"/>
      <c r="CO36" s="560"/>
      <c r="CP36" s="560"/>
      <c r="CQ36" s="560"/>
      <c r="CR36" s="560"/>
      <c r="CS36" s="560"/>
      <c r="CT36" s="560"/>
      <c r="CU36" s="560"/>
    </row>
    <row r="37" spans="1:99" s="197" customFormat="1" x14ac:dyDescent="0.3">
      <c r="A37" s="438"/>
      <c r="B37" s="239" t="s">
        <v>158</v>
      </c>
      <c r="C37" s="198"/>
      <c r="D37" s="431"/>
      <c r="E37" s="451"/>
      <c r="F37" s="431"/>
      <c r="G37" s="431"/>
      <c r="H37" s="431"/>
      <c r="I37" s="431"/>
      <c r="J37" s="431"/>
      <c r="K37" s="431"/>
      <c r="L37" s="431"/>
      <c r="M37" s="431"/>
      <c r="N37" s="431"/>
      <c r="O37" s="431"/>
      <c r="P37" s="16">
        <f t="shared" ref="P37:P100" si="2">1+P36</f>
        <v>2</v>
      </c>
      <c r="Q37" s="570">
        <f t="shared" ref="Q37:Q100" si="3">Q36+1</f>
        <v>3</v>
      </c>
      <c r="R37" s="571">
        <f t="shared" si="1"/>
        <v>0</v>
      </c>
      <c r="S37" s="572">
        <f t="shared" si="0"/>
        <v>0</v>
      </c>
      <c r="T37" s="438"/>
      <c r="U37" s="438"/>
      <c r="V37" s="438"/>
      <c r="W37" s="438"/>
      <c r="X37" s="438"/>
      <c r="Y37" s="438"/>
      <c r="Z37" s="438"/>
      <c r="AA37" s="438"/>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442"/>
      <c r="BQ37" s="442"/>
      <c r="BR37" s="442"/>
      <c r="BS37" s="442"/>
      <c r="BT37" s="442"/>
      <c r="BU37" s="442"/>
      <c r="BV37" s="442"/>
      <c r="BW37" s="442"/>
      <c r="BX37" s="442"/>
      <c r="BY37" s="442"/>
      <c r="BZ37" s="442"/>
      <c r="CA37" s="442"/>
      <c r="CB37" s="442"/>
      <c r="CC37" s="442"/>
      <c r="CD37" s="442"/>
      <c r="CE37" s="442"/>
      <c r="CF37" s="442"/>
      <c r="CG37" s="442"/>
      <c r="CH37" s="442"/>
      <c r="CI37" s="442"/>
      <c r="CJ37" s="442"/>
      <c r="CK37" s="442"/>
      <c r="CL37" s="442"/>
      <c r="CM37" s="442"/>
      <c r="CN37" s="442"/>
      <c r="CO37" s="442"/>
      <c r="CP37" s="442"/>
      <c r="CQ37" s="442"/>
      <c r="CR37" s="442"/>
      <c r="CS37" s="442"/>
      <c r="CT37" s="442"/>
      <c r="CU37" s="442"/>
    </row>
    <row r="38" spans="1:99" ht="17.25" customHeight="1" x14ac:dyDescent="0.3">
      <c r="A38" s="438"/>
      <c r="B38" s="240" t="s">
        <v>47</v>
      </c>
      <c r="C38" s="206">
        <v>1</v>
      </c>
      <c r="D38" s="431"/>
      <c r="E38" s="550"/>
      <c r="F38" s="549"/>
      <c r="G38" s="549"/>
      <c r="H38" s="549"/>
      <c r="I38" s="549"/>
      <c r="J38" s="549"/>
      <c r="K38" s="549"/>
      <c r="L38" s="549"/>
      <c r="M38" s="549"/>
      <c r="N38" s="549"/>
      <c r="O38" s="431"/>
      <c r="P38" s="16">
        <f t="shared" si="2"/>
        <v>3</v>
      </c>
      <c r="Q38" s="570">
        <f t="shared" si="3"/>
        <v>4</v>
      </c>
      <c r="R38" s="571">
        <f t="shared" si="1"/>
        <v>0</v>
      </c>
      <c r="S38" s="572">
        <f t="shared" si="0"/>
        <v>0</v>
      </c>
      <c r="T38" s="438"/>
      <c r="U38" s="438"/>
      <c r="V38" s="438"/>
      <c r="W38" s="438"/>
      <c r="X38" s="438"/>
      <c r="Y38" s="438"/>
      <c r="Z38" s="438"/>
      <c r="AA38" s="438"/>
    </row>
    <row r="39" spans="1:99" ht="15.6" x14ac:dyDescent="0.3">
      <c r="A39" s="438"/>
      <c r="B39" s="241" t="s">
        <v>48</v>
      </c>
      <c r="C39" s="205">
        <v>0</v>
      </c>
      <c r="D39" s="431"/>
      <c r="E39" s="488"/>
      <c r="F39" s="431"/>
      <c r="G39" s="431"/>
      <c r="H39" s="431"/>
      <c r="I39" s="431"/>
      <c r="J39" s="431"/>
      <c r="K39" s="431"/>
      <c r="L39" s="431"/>
      <c r="M39" s="431"/>
      <c r="N39" s="431"/>
      <c r="O39" s="431"/>
      <c r="P39" s="16">
        <f t="shared" si="2"/>
        <v>4</v>
      </c>
      <c r="Q39" s="570">
        <f t="shared" si="3"/>
        <v>5</v>
      </c>
      <c r="R39" s="571">
        <f t="shared" si="1"/>
        <v>0</v>
      </c>
      <c r="S39" s="572">
        <f t="shared" si="0"/>
        <v>0</v>
      </c>
      <c r="T39" s="438"/>
      <c r="U39" s="438"/>
      <c r="V39" s="438"/>
      <c r="W39" s="438"/>
      <c r="X39" s="438"/>
      <c r="Y39" s="438"/>
      <c r="Z39" s="438"/>
      <c r="AA39" s="438"/>
    </row>
    <row r="40" spans="1:99" ht="15.6" x14ac:dyDescent="0.3">
      <c r="A40" s="438"/>
      <c r="B40" s="242"/>
      <c r="C40" s="196"/>
      <c r="D40" s="431"/>
      <c r="E40" s="488"/>
      <c r="F40" s="431"/>
      <c r="G40" s="431"/>
      <c r="H40" s="431"/>
      <c r="I40" s="431"/>
      <c r="J40" s="431"/>
      <c r="K40" s="431"/>
      <c r="L40" s="431"/>
      <c r="M40" s="431"/>
      <c r="N40" s="431"/>
      <c r="O40" s="431"/>
      <c r="P40" s="16">
        <f t="shared" si="2"/>
        <v>5</v>
      </c>
      <c r="Q40" s="570">
        <f t="shared" si="3"/>
        <v>6</v>
      </c>
      <c r="R40" s="571">
        <f t="shared" si="1"/>
        <v>0</v>
      </c>
      <c r="S40" s="572">
        <f t="shared" si="0"/>
        <v>0</v>
      </c>
      <c r="T40" s="438"/>
      <c r="U40" s="438"/>
      <c r="V40" s="438"/>
      <c r="W40" s="438"/>
      <c r="X40" s="438"/>
      <c r="Y40" s="438"/>
      <c r="Z40" s="438"/>
      <c r="AA40" s="438"/>
    </row>
    <row r="41" spans="1:99" s="197" customFormat="1" x14ac:dyDescent="0.3">
      <c r="A41" s="438"/>
      <c r="B41" s="356" t="s">
        <v>159</v>
      </c>
      <c r="C41" s="350"/>
      <c r="D41" s="431"/>
      <c r="E41" s="431"/>
      <c r="F41" s="431"/>
      <c r="G41" s="431"/>
      <c r="H41" s="431"/>
      <c r="I41" s="431"/>
      <c r="J41" s="431"/>
      <c r="K41" s="431"/>
      <c r="L41" s="431"/>
      <c r="M41" s="431"/>
      <c r="N41" s="431"/>
      <c r="O41" s="431"/>
      <c r="P41" s="16">
        <f t="shared" si="2"/>
        <v>6</v>
      </c>
      <c r="Q41" s="570">
        <f t="shared" si="3"/>
        <v>7</v>
      </c>
      <c r="R41" s="571">
        <f t="shared" si="1"/>
        <v>0</v>
      </c>
      <c r="S41" s="572">
        <f t="shared" si="0"/>
        <v>0</v>
      </c>
      <c r="T41" s="438"/>
      <c r="U41" s="438"/>
      <c r="V41" s="438"/>
      <c r="W41" s="438"/>
      <c r="X41" s="438"/>
      <c r="Y41" s="438"/>
      <c r="Z41" s="438"/>
      <c r="AA41" s="438"/>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2"/>
      <c r="BC41" s="442"/>
      <c r="BD41" s="442"/>
      <c r="BE41" s="442"/>
      <c r="BF41" s="442"/>
      <c r="BG41" s="442"/>
      <c r="BH41" s="442"/>
      <c r="BI41" s="442"/>
      <c r="BJ41" s="442"/>
      <c r="BK41" s="442"/>
      <c r="BL41" s="442"/>
      <c r="BM41" s="442"/>
      <c r="BN41" s="442"/>
      <c r="BO41" s="442"/>
      <c r="BP41" s="442"/>
      <c r="BQ41" s="442"/>
      <c r="BR41" s="442"/>
      <c r="BS41" s="442"/>
      <c r="BT41" s="442"/>
      <c r="BU41" s="442"/>
      <c r="BV41" s="442"/>
      <c r="BW41" s="442"/>
      <c r="BX41" s="442"/>
      <c r="BY41" s="442"/>
      <c r="BZ41" s="442"/>
      <c r="CA41" s="442"/>
      <c r="CB41" s="442"/>
      <c r="CC41" s="442"/>
      <c r="CD41" s="442"/>
      <c r="CE41" s="442"/>
      <c r="CF41" s="442"/>
      <c r="CG41" s="442"/>
      <c r="CH41" s="442"/>
      <c r="CI41" s="442"/>
      <c r="CJ41" s="442"/>
      <c r="CK41" s="442"/>
      <c r="CL41" s="442"/>
      <c r="CM41" s="442"/>
      <c r="CN41" s="442"/>
      <c r="CO41" s="442"/>
      <c r="CP41" s="442"/>
      <c r="CQ41" s="442"/>
      <c r="CR41" s="442"/>
      <c r="CS41" s="442"/>
      <c r="CT41" s="442"/>
      <c r="CU41" s="442"/>
    </row>
    <row r="42" spans="1:99" ht="19.5" customHeight="1" x14ac:dyDescent="0.3">
      <c r="A42" s="438"/>
      <c r="B42" s="351" t="s">
        <v>47</v>
      </c>
      <c r="C42" s="347">
        <v>1</v>
      </c>
      <c r="D42" s="478"/>
      <c r="E42" s="478"/>
      <c r="F42" s="550"/>
      <c r="G42" s="550"/>
      <c r="H42" s="550"/>
      <c r="I42" s="550"/>
      <c r="J42" s="550"/>
      <c r="K42" s="550"/>
      <c r="L42" s="550"/>
      <c r="M42" s="550"/>
      <c r="N42" s="550"/>
      <c r="O42" s="431"/>
      <c r="P42" s="16">
        <f t="shared" si="2"/>
        <v>7</v>
      </c>
      <c r="Q42" s="570">
        <f t="shared" si="3"/>
        <v>8</v>
      </c>
      <c r="R42" s="571">
        <f t="shared" si="1"/>
        <v>0.25</v>
      </c>
      <c r="S42" s="572">
        <f t="shared" si="0"/>
        <v>0</v>
      </c>
      <c r="T42" s="438"/>
      <c r="U42" s="438"/>
      <c r="V42" s="438"/>
      <c r="W42" s="438"/>
      <c r="X42" s="438"/>
      <c r="Y42" s="438"/>
      <c r="Z42" s="438"/>
      <c r="AA42" s="438"/>
    </row>
    <row r="43" spans="1:99" x14ac:dyDescent="0.3">
      <c r="A43" s="438"/>
      <c r="B43" s="349" t="s">
        <v>48</v>
      </c>
      <c r="C43" s="348">
        <v>0</v>
      </c>
      <c r="D43" s="478"/>
      <c r="E43" s="555"/>
      <c r="F43" s="431"/>
      <c r="G43" s="431"/>
      <c r="H43" s="431"/>
      <c r="I43" s="431"/>
      <c r="J43" s="431"/>
      <c r="K43" s="431"/>
      <c r="L43" s="431"/>
      <c r="M43" s="431"/>
      <c r="N43" s="431"/>
      <c r="O43" s="431"/>
      <c r="P43" s="16">
        <f t="shared" si="2"/>
        <v>8</v>
      </c>
      <c r="Q43" s="570">
        <f t="shared" si="3"/>
        <v>9</v>
      </c>
      <c r="R43" s="571">
        <f t="shared" si="1"/>
        <v>0.25</v>
      </c>
      <c r="S43" s="572">
        <f t="shared" si="0"/>
        <v>0</v>
      </c>
      <c r="T43" s="438"/>
      <c r="U43" s="438"/>
      <c r="V43" s="438"/>
      <c r="W43" s="438"/>
      <c r="X43" s="438"/>
      <c r="Y43" s="438"/>
      <c r="Z43" s="438"/>
      <c r="AA43" s="438"/>
    </row>
    <row r="44" spans="1:99" x14ac:dyDescent="0.3">
      <c r="A44" s="438"/>
      <c r="B44" s="443"/>
      <c r="C44" s="443"/>
      <c r="D44" s="478"/>
      <c r="E44" s="555"/>
      <c r="F44" s="431"/>
      <c r="G44" s="431"/>
      <c r="H44" s="431"/>
      <c r="I44" s="431"/>
      <c r="J44" s="431"/>
      <c r="K44" s="431"/>
      <c r="L44" s="431"/>
      <c r="M44" s="431"/>
      <c r="N44" s="431"/>
      <c r="O44" s="431"/>
      <c r="P44" s="16">
        <f t="shared" si="2"/>
        <v>9</v>
      </c>
      <c r="Q44" s="570">
        <f t="shared" si="3"/>
        <v>10</v>
      </c>
      <c r="R44" s="571">
        <f t="shared" si="1"/>
        <v>0.25</v>
      </c>
      <c r="S44" s="572">
        <f t="shared" si="0"/>
        <v>0</v>
      </c>
      <c r="T44" s="438"/>
      <c r="U44" s="438"/>
      <c r="V44" s="438"/>
      <c r="W44" s="438"/>
      <c r="X44" s="438"/>
      <c r="Y44" s="438"/>
      <c r="Z44" s="438"/>
      <c r="AA44" s="438"/>
      <c r="AB44" s="438"/>
    </row>
    <row r="45" spans="1:99" s="197" customFormat="1" x14ac:dyDescent="0.3">
      <c r="A45" s="438"/>
      <c r="B45" s="438"/>
      <c r="C45" s="438"/>
      <c r="D45" s="446"/>
      <c r="E45" s="431"/>
      <c r="F45" s="431"/>
      <c r="G45" s="431"/>
      <c r="H45" s="431"/>
      <c r="I45" s="431"/>
      <c r="J45" s="431"/>
      <c r="K45" s="431"/>
      <c r="L45" s="431"/>
      <c r="M45" s="431"/>
      <c r="N45" s="431"/>
      <c r="O45" s="431"/>
      <c r="P45" s="16">
        <f t="shared" si="2"/>
        <v>10</v>
      </c>
      <c r="Q45" s="570">
        <f t="shared" si="3"/>
        <v>11</v>
      </c>
      <c r="R45" s="571">
        <f t="shared" si="1"/>
        <v>0.25</v>
      </c>
      <c r="S45" s="572">
        <f t="shared" si="0"/>
        <v>0</v>
      </c>
      <c r="T45" s="438"/>
      <c r="U45" s="438"/>
      <c r="V45" s="438"/>
      <c r="W45" s="438"/>
      <c r="X45" s="438"/>
      <c r="Y45" s="438"/>
      <c r="Z45" s="438"/>
      <c r="AA45" s="438"/>
      <c r="AB45" s="438"/>
      <c r="AC45" s="442"/>
      <c r="AD45" s="442"/>
      <c r="AE45" s="442"/>
      <c r="AF45" s="442"/>
      <c r="AG45" s="442"/>
      <c r="AH45" s="442"/>
      <c r="AI45" s="442"/>
      <c r="AJ45" s="442"/>
      <c r="AK45" s="442"/>
      <c r="AL45" s="442"/>
      <c r="AM45" s="442"/>
      <c r="AN45" s="442"/>
      <c r="AO45" s="442"/>
      <c r="AP45" s="442"/>
      <c r="AQ45" s="442"/>
      <c r="AR45" s="442"/>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2"/>
      <c r="BR45" s="442"/>
      <c r="BS45" s="442"/>
      <c r="BT45" s="442"/>
      <c r="BU45" s="442"/>
      <c r="BV45" s="442"/>
      <c r="BW45" s="442"/>
      <c r="BX45" s="442"/>
      <c r="BY45" s="442"/>
      <c r="BZ45" s="442"/>
      <c r="CA45" s="442"/>
      <c r="CB45" s="442"/>
      <c r="CC45" s="442"/>
      <c r="CD45" s="442"/>
      <c r="CE45" s="442"/>
      <c r="CF45" s="442"/>
      <c r="CG45" s="442"/>
      <c r="CH45" s="442"/>
      <c r="CI45" s="442"/>
      <c r="CJ45" s="442"/>
      <c r="CK45" s="442"/>
      <c r="CL45" s="442"/>
      <c r="CM45" s="442"/>
      <c r="CN45" s="442"/>
      <c r="CO45" s="442"/>
      <c r="CP45" s="442"/>
      <c r="CQ45" s="442"/>
      <c r="CR45" s="442"/>
      <c r="CS45" s="442"/>
      <c r="CT45" s="442"/>
      <c r="CU45" s="442"/>
    </row>
    <row r="46" spans="1:99" s="327" customFormat="1" x14ac:dyDescent="0.3">
      <c r="A46" s="478"/>
      <c r="B46" s="438"/>
      <c r="C46" s="438"/>
      <c r="D46" s="438"/>
      <c r="E46" s="431"/>
      <c r="F46" s="478"/>
      <c r="G46" s="478"/>
      <c r="H46" s="478"/>
      <c r="I46" s="478"/>
      <c r="J46" s="478"/>
      <c r="K46" s="478"/>
      <c r="L46" s="478"/>
      <c r="M46" s="478"/>
      <c r="N46" s="478"/>
      <c r="O46" s="478"/>
      <c r="P46" s="16">
        <f t="shared" si="2"/>
        <v>11</v>
      </c>
      <c r="Q46" s="570">
        <f t="shared" si="3"/>
        <v>12</v>
      </c>
      <c r="R46" s="571">
        <f t="shared" si="1"/>
        <v>0.25</v>
      </c>
      <c r="S46" s="572">
        <f t="shared" si="0"/>
        <v>0</v>
      </c>
      <c r="T46" s="478"/>
      <c r="U46" s="478"/>
      <c r="V46" s="478"/>
      <c r="W46" s="478"/>
      <c r="X46" s="478"/>
      <c r="Y46" s="478"/>
      <c r="Z46" s="478"/>
      <c r="AA46" s="478"/>
      <c r="AB46" s="478"/>
      <c r="AC46" s="561"/>
      <c r="AD46" s="561"/>
      <c r="AE46" s="561"/>
      <c r="AF46" s="561"/>
      <c r="AG46" s="561"/>
      <c r="AH46" s="561"/>
      <c r="AI46" s="561"/>
      <c r="AJ46" s="561"/>
      <c r="AK46" s="561"/>
      <c r="AL46" s="561"/>
      <c r="AM46" s="561"/>
      <c r="AN46" s="561"/>
      <c r="AO46" s="561"/>
      <c r="AP46" s="561"/>
      <c r="AQ46" s="561"/>
      <c r="AR46" s="561"/>
      <c r="AS46" s="561"/>
      <c r="AT46" s="561"/>
      <c r="AU46" s="561"/>
      <c r="AV46" s="561"/>
      <c r="AW46" s="561"/>
      <c r="AX46" s="561"/>
      <c r="AY46" s="561"/>
      <c r="AZ46" s="561"/>
      <c r="BA46" s="561"/>
      <c r="BB46" s="561"/>
      <c r="BC46" s="561"/>
      <c r="BD46" s="561"/>
      <c r="BE46" s="561"/>
      <c r="BF46" s="561"/>
      <c r="BG46" s="561"/>
      <c r="BH46" s="561"/>
      <c r="BI46" s="561"/>
      <c r="BJ46" s="561"/>
      <c r="BK46" s="561"/>
      <c r="BL46" s="561"/>
      <c r="BM46" s="561"/>
      <c r="BN46" s="561"/>
      <c r="BO46" s="561"/>
      <c r="BP46" s="561"/>
      <c r="BQ46" s="561"/>
      <c r="BR46" s="561"/>
      <c r="BS46" s="561"/>
      <c r="BT46" s="561"/>
      <c r="BU46" s="561"/>
      <c r="BV46" s="561"/>
      <c r="BW46" s="561"/>
      <c r="BX46" s="561"/>
      <c r="BY46" s="561"/>
      <c r="BZ46" s="561"/>
      <c r="CA46" s="561"/>
      <c r="CB46" s="561"/>
      <c r="CC46" s="561"/>
      <c r="CD46" s="561"/>
      <c r="CE46" s="561"/>
      <c r="CF46" s="561"/>
      <c r="CG46" s="561"/>
      <c r="CH46" s="561"/>
      <c r="CI46" s="561"/>
      <c r="CJ46" s="561"/>
      <c r="CK46" s="561"/>
      <c r="CL46" s="561"/>
      <c r="CM46" s="561"/>
      <c r="CN46" s="561"/>
      <c r="CO46" s="561"/>
      <c r="CP46" s="561"/>
      <c r="CQ46" s="561"/>
      <c r="CR46" s="561"/>
      <c r="CS46" s="561"/>
      <c r="CT46" s="561"/>
      <c r="CU46" s="561"/>
    </row>
    <row r="47" spans="1:99" s="327" customFormat="1" x14ac:dyDescent="0.3">
      <c r="A47" s="478"/>
      <c r="B47" s="438"/>
      <c r="C47" s="438"/>
      <c r="D47" s="438"/>
      <c r="E47" s="431"/>
      <c r="F47" s="478"/>
      <c r="G47" s="478"/>
      <c r="H47" s="478"/>
      <c r="I47" s="478"/>
      <c r="J47" s="478"/>
      <c r="K47" s="478"/>
      <c r="L47" s="478"/>
      <c r="M47" s="478"/>
      <c r="N47" s="478"/>
      <c r="O47" s="478"/>
      <c r="P47" s="16">
        <f t="shared" si="2"/>
        <v>12</v>
      </c>
      <c r="Q47" s="570">
        <f t="shared" si="3"/>
        <v>13</v>
      </c>
      <c r="R47" s="571">
        <f t="shared" si="1"/>
        <v>0.25</v>
      </c>
      <c r="S47" s="572">
        <f t="shared" si="0"/>
        <v>0</v>
      </c>
      <c r="T47" s="478"/>
      <c r="U47" s="478"/>
      <c r="V47" s="478"/>
      <c r="W47" s="478"/>
      <c r="X47" s="478"/>
      <c r="Y47" s="478"/>
      <c r="Z47" s="478"/>
      <c r="AA47" s="478"/>
      <c r="AB47" s="478"/>
      <c r="AC47" s="561"/>
      <c r="AD47" s="561"/>
      <c r="AE47" s="561"/>
      <c r="AF47" s="561"/>
      <c r="AG47" s="561"/>
      <c r="AH47" s="561"/>
      <c r="AI47" s="561"/>
      <c r="AJ47" s="561"/>
      <c r="AK47" s="561"/>
      <c r="AL47" s="561"/>
      <c r="AM47" s="561"/>
      <c r="AN47" s="561"/>
      <c r="AO47" s="561"/>
      <c r="AP47" s="561"/>
      <c r="AQ47" s="561"/>
      <c r="AR47" s="561"/>
      <c r="AS47" s="561"/>
      <c r="AT47" s="561"/>
      <c r="AU47" s="561"/>
      <c r="AV47" s="561"/>
      <c r="AW47" s="561"/>
      <c r="AX47" s="561"/>
      <c r="AY47" s="561"/>
      <c r="AZ47" s="561"/>
      <c r="BA47" s="561"/>
      <c r="BB47" s="561"/>
      <c r="BC47" s="561"/>
      <c r="BD47" s="561"/>
      <c r="BE47" s="561"/>
      <c r="BF47" s="561"/>
      <c r="BG47" s="561"/>
      <c r="BH47" s="561"/>
      <c r="BI47" s="561"/>
      <c r="BJ47" s="561"/>
      <c r="BK47" s="561"/>
      <c r="BL47" s="561"/>
      <c r="BM47" s="561"/>
      <c r="BN47" s="561"/>
      <c r="BO47" s="561"/>
      <c r="BP47" s="561"/>
      <c r="BQ47" s="561"/>
      <c r="BR47" s="561"/>
      <c r="BS47" s="561"/>
      <c r="BT47" s="561"/>
      <c r="BU47" s="561"/>
      <c r="BV47" s="561"/>
      <c r="BW47" s="561"/>
      <c r="BX47" s="561"/>
      <c r="BY47" s="561"/>
      <c r="BZ47" s="561"/>
      <c r="CA47" s="561"/>
      <c r="CB47" s="561"/>
      <c r="CC47" s="561"/>
      <c r="CD47" s="561"/>
      <c r="CE47" s="561"/>
      <c r="CF47" s="561"/>
      <c r="CG47" s="561"/>
      <c r="CH47" s="561"/>
      <c r="CI47" s="561"/>
      <c r="CJ47" s="561"/>
      <c r="CK47" s="561"/>
      <c r="CL47" s="561"/>
      <c r="CM47" s="561"/>
      <c r="CN47" s="561"/>
      <c r="CO47" s="561"/>
      <c r="CP47" s="561"/>
      <c r="CQ47" s="561"/>
      <c r="CR47" s="561"/>
      <c r="CS47" s="561"/>
      <c r="CT47" s="561"/>
      <c r="CU47" s="561"/>
    </row>
    <row r="48" spans="1:99" s="327" customFormat="1" x14ac:dyDescent="0.3">
      <c r="A48" s="478"/>
      <c r="B48" s="438"/>
      <c r="C48" s="438"/>
      <c r="D48" s="438"/>
      <c r="E48" s="431"/>
      <c r="F48" s="478"/>
      <c r="G48" s="478"/>
      <c r="H48" s="478"/>
      <c r="I48" s="478"/>
      <c r="J48" s="478"/>
      <c r="K48" s="478"/>
      <c r="L48" s="478"/>
      <c r="M48" s="478"/>
      <c r="N48" s="478"/>
      <c r="O48" s="478"/>
      <c r="P48" s="16">
        <f t="shared" si="2"/>
        <v>13</v>
      </c>
      <c r="Q48" s="570">
        <f t="shared" si="3"/>
        <v>14</v>
      </c>
      <c r="R48" s="571">
        <f t="shared" si="1"/>
        <v>0.25</v>
      </c>
      <c r="S48" s="572">
        <f t="shared" si="0"/>
        <v>0</v>
      </c>
      <c r="T48" s="478"/>
      <c r="U48" s="478"/>
      <c r="V48" s="478"/>
      <c r="W48" s="478"/>
      <c r="X48" s="478"/>
      <c r="Y48" s="478"/>
      <c r="Z48" s="478"/>
      <c r="AA48" s="478"/>
      <c r="AB48" s="478"/>
      <c r="AC48" s="561"/>
      <c r="AD48" s="561"/>
      <c r="AE48" s="561"/>
      <c r="AF48" s="561"/>
      <c r="AG48" s="561"/>
      <c r="AH48" s="561"/>
      <c r="AI48" s="561"/>
      <c r="AJ48" s="561"/>
      <c r="AK48" s="561"/>
      <c r="AL48" s="561"/>
      <c r="AM48" s="561"/>
      <c r="AN48" s="561"/>
      <c r="AO48" s="561"/>
      <c r="AP48" s="561"/>
      <c r="AQ48" s="561"/>
      <c r="AR48" s="561"/>
      <c r="AS48" s="561"/>
      <c r="AT48" s="561"/>
      <c r="AU48" s="561"/>
      <c r="AV48" s="561"/>
      <c r="AW48" s="561"/>
      <c r="AX48" s="561"/>
      <c r="AY48" s="561"/>
      <c r="AZ48" s="561"/>
      <c r="BA48" s="561"/>
      <c r="BB48" s="561"/>
      <c r="BC48" s="561"/>
      <c r="BD48" s="561"/>
      <c r="BE48" s="561"/>
      <c r="BF48" s="561"/>
      <c r="BG48" s="561"/>
      <c r="BH48" s="561"/>
      <c r="BI48" s="561"/>
      <c r="BJ48" s="561"/>
      <c r="BK48" s="561"/>
      <c r="BL48" s="561"/>
      <c r="BM48" s="561"/>
      <c r="BN48" s="561"/>
      <c r="BO48" s="561"/>
      <c r="BP48" s="561"/>
      <c r="BQ48" s="561"/>
      <c r="BR48" s="561"/>
      <c r="BS48" s="561"/>
      <c r="BT48" s="561"/>
      <c r="BU48" s="561"/>
      <c r="BV48" s="561"/>
      <c r="BW48" s="561"/>
      <c r="BX48" s="561"/>
      <c r="BY48" s="561"/>
      <c r="BZ48" s="561"/>
      <c r="CA48" s="561"/>
      <c r="CB48" s="561"/>
      <c r="CC48" s="561"/>
      <c r="CD48" s="561"/>
      <c r="CE48" s="561"/>
      <c r="CF48" s="561"/>
      <c r="CG48" s="561"/>
      <c r="CH48" s="561"/>
      <c r="CI48" s="561"/>
      <c r="CJ48" s="561"/>
      <c r="CK48" s="561"/>
      <c r="CL48" s="561"/>
      <c r="CM48" s="561"/>
      <c r="CN48" s="561"/>
      <c r="CO48" s="561"/>
      <c r="CP48" s="561"/>
      <c r="CQ48" s="561"/>
      <c r="CR48" s="561"/>
      <c r="CS48" s="561"/>
      <c r="CT48" s="561"/>
      <c r="CU48" s="561"/>
    </row>
    <row r="49" spans="1:27" x14ac:dyDescent="0.3">
      <c r="A49" s="438"/>
      <c r="B49" s="438"/>
      <c r="C49" s="438"/>
      <c r="D49" s="438"/>
      <c r="E49" s="556"/>
      <c r="F49" s="431"/>
      <c r="G49" s="431"/>
      <c r="H49" s="431"/>
      <c r="I49" s="431"/>
      <c r="J49" s="431"/>
      <c r="K49" s="431"/>
      <c r="L49" s="431"/>
      <c r="M49" s="431"/>
      <c r="N49" s="431"/>
      <c r="O49" s="438"/>
      <c r="P49" s="16">
        <f t="shared" si="2"/>
        <v>14</v>
      </c>
      <c r="Q49" s="570">
        <f t="shared" si="3"/>
        <v>15</v>
      </c>
      <c r="R49" s="571">
        <f t="shared" si="1"/>
        <v>0.25</v>
      </c>
      <c r="S49" s="572">
        <f t="shared" si="0"/>
        <v>0</v>
      </c>
      <c r="T49" s="438"/>
      <c r="U49" s="438"/>
      <c r="V49" s="438"/>
      <c r="W49" s="438"/>
      <c r="X49" s="438"/>
      <c r="Y49" s="438"/>
      <c r="Z49" s="438"/>
      <c r="AA49" s="438"/>
    </row>
    <row r="50" spans="1:27" x14ac:dyDescent="0.3">
      <c r="A50" s="438"/>
      <c r="B50" s="442"/>
      <c r="C50" s="442"/>
      <c r="D50" s="438"/>
      <c r="E50" s="556"/>
      <c r="F50" s="431"/>
      <c r="G50" s="431"/>
      <c r="H50" s="431"/>
      <c r="I50" s="431"/>
      <c r="J50" s="431"/>
      <c r="K50" s="431"/>
      <c r="L50" s="431"/>
      <c r="M50" s="431"/>
      <c r="N50" s="431"/>
      <c r="O50" s="438"/>
      <c r="P50" s="16">
        <f t="shared" si="2"/>
        <v>15</v>
      </c>
      <c r="Q50" s="570">
        <f t="shared" si="3"/>
        <v>16</v>
      </c>
      <c r="R50" s="571">
        <f t="shared" si="1"/>
        <v>0.25</v>
      </c>
      <c r="S50" s="572">
        <f t="shared" si="0"/>
        <v>0</v>
      </c>
      <c r="T50" s="438"/>
      <c r="U50" s="438"/>
      <c r="V50" s="438"/>
      <c r="W50" s="438"/>
      <c r="X50" s="438"/>
      <c r="Y50" s="438"/>
      <c r="Z50" s="438"/>
      <c r="AA50" s="438"/>
    </row>
    <row r="51" spans="1:27" x14ac:dyDescent="0.3">
      <c r="A51" s="438"/>
      <c r="B51" s="442"/>
      <c r="C51" s="442"/>
      <c r="D51" s="438"/>
      <c r="E51" s="436"/>
      <c r="F51" s="431"/>
      <c r="G51" s="431"/>
      <c r="H51" s="431"/>
      <c r="I51" s="431"/>
      <c r="J51" s="431"/>
      <c r="K51" s="431"/>
      <c r="L51" s="431"/>
      <c r="M51" s="431"/>
      <c r="N51" s="431"/>
      <c r="O51" s="438"/>
      <c r="P51" s="16">
        <f t="shared" si="2"/>
        <v>16</v>
      </c>
      <c r="Q51" s="570">
        <f t="shared" si="3"/>
        <v>17</v>
      </c>
      <c r="R51" s="571">
        <f t="shared" si="1"/>
        <v>0.25</v>
      </c>
      <c r="S51" s="572">
        <f t="shared" si="0"/>
        <v>0</v>
      </c>
      <c r="T51" s="438"/>
      <c r="U51" s="438"/>
      <c r="V51" s="438"/>
      <c r="W51" s="438"/>
      <c r="X51" s="438"/>
      <c r="Y51" s="438"/>
      <c r="Z51" s="438"/>
      <c r="AA51" s="438"/>
    </row>
    <row r="52" spans="1:27" x14ac:dyDescent="0.3">
      <c r="A52" s="438"/>
      <c r="B52" s="442"/>
      <c r="C52" s="442"/>
      <c r="D52" s="442"/>
      <c r="E52" s="442"/>
      <c r="F52" s="431"/>
      <c r="G52" s="431"/>
      <c r="H52" s="431"/>
      <c r="I52" s="431"/>
      <c r="J52" s="431"/>
      <c r="K52" s="431"/>
      <c r="L52" s="431"/>
      <c r="M52" s="431"/>
      <c r="N52" s="431"/>
      <c r="O52" s="438"/>
      <c r="P52" s="16">
        <f t="shared" si="2"/>
        <v>17</v>
      </c>
      <c r="Q52" s="570">
        <f t="shared" si="3"/>
        <v>18</v>
      </c>
      <c r="R52" s="571">
        <f t="shared" si="1"/>
        <v>0.25</v>
      </c>
      <c r="S52" s="572">
        <f t="shared" si="0"/>
        <v>0</v>
      </c>
      <c r="T52" s="438"/>
      <c r="U52" s="438"/>
      <c r="V52" s="438"/>
      <c r="W52" s="438"/>
      <c r="X52" s="438"/>
      <c r="Y52" s="438"/>
      <c r="Z52" s="438"/>
      <c r="AA52" s="438"/>
    </row>
    <row r="53" spans="1:27" x14ac:dyDescent="0.3">
      <c r="A53" s="438"/>
      <c r="B53" s="442"/>
      <c r="C53" s="442"/>
      <c r="D53" s="442"/>
      <c r="E53" s="442"/>
      <c r="F53" s="431"/>
      <c r="G53" s="431"/>
      <c r="H53" s="431"/>
      <c r="I53" s="431"/>
      <c r="J53" s="431"/>
      <c r="K53" s="431"/>
      <c r="L53" s="431"/>
      <c r="M53" s="431"/>
      <c r="N53" s="431"/>
      <c r="O53" s="438"/>
      <c r="P53" s="16">
        <f t="shared" si="2"/>
        <v>18</v>
      </c>
      <c r="Q53" s="570">
        <f t="shared" si="3"/>
        <v>19</v>
      </c>
      <c r="R53" s="571">
        <f t="shared" si="1"/>
        <v>0.25</v>
      </c>
      <c r="S53" s="572">
        <f t="shared" si="0"/>
        <v>0</v>
      </c>
      <c r="T53" s="438"/>
      <c r="U53" s="438"/>
      <c r="V53" s="438"/>
      <c r="W53" s="438"/>
      <c r="X53" s="438"/>
      <c r="Y53" s="438"/>
      <c r="Z53" s="438"/>
      <c r="AA53" s="438"/>
    </row>
    <row r="54" spans="1:27" x14ac:dyDescent="0.3">
      <c r="A54" s="438"/>
      <c r="B54" s="442"/>
      <c r="C54" s="442"/>
      <c r="D54" s="442"/>
      <c r="E54" s="442"/>
      <c r="F54" s="431"/>
      <c r="G54" s="431"/>
      <c r="H54" s="431"/>
      <c r="I54" s="431"/>
      <c r="J54" s="431"/>
      <c r="K54" s="431"/>
      <c r="L54" s="431"/>
      <c r="M54" s="431"/>
      <c r="N54" s="431"/>
      <c r="O54" s="438"/>
      <c r="P54" s="16">
        <f t="shared" si="2"/>
        <v>19</v>
      </c>
      <c r="Q54" s="570">
        <f t="shared" si="3"/>
        <v>20</v>
      </c>
      <c r="R54" s="571">
        <f t="shared" si="1"/>
        <v>0.25</v>
      </c>
      <c r="S54" s="572">
        <f t="shared" si="0"/>
        <v>0</v>
      </c>
      <c r="T54" s="438"/>
      <c r="U54" s="438"/>
      <c r="V54" s="438"/>
      <c r="W54" s="438"/>
      <c r="X54" s="438"/>
      <c r="Y54" s="438"/>
      <c r="Z54" s="438"/>
      <c r="AA54" s="438"/>
    </row>
    <row r="55" spans="1:27" x14ac:dyDescent="0.3">
      <c r="A55" s="438"/>
      <c r="B55" s="442"/>
      <c r="C55" s="442"/>
      <c r="D55" s="442"/>
      <c r="E55" s="442"/>
      <c r="F55" s="436"/>
      <c r="G55" s="436"/>
      <c r="H55" s="436"/>
      <c r="I55" s="436"/>
      <c r="J55" s="436"/>
      <c r="K55" s="436"/>
      <c r="L55" s="436"/>
      <c r="M55" s="436"/>
      <c r="N55" s="436"/>
      <c r="P55" s="16">
        <f t="shared" si="2"/>
        <v>20</v>
      </c>
      <c r="Q55" s="570">
        <f t="shared" si="3"/>
        <v>21</v>
      </c>
      <c r="R55" s="571">
        <f t="shared" si="1"/>
        <v>0.25</v>
      </c>
      <c r="S55" s="572">
        <f t="shared" si="0"/>
        <v>0</v>
      </c>
      <c r="T55" s="438"/>
      <c r="U55" s="438"/>
      <c r="V55" s="438"/>
      <c r="W55" s="438"/>
      <c r="X55" s="438"/>
      <c r="Y55" s="438"/>
      <c r="Z55" s="438"/>
      <c r="AA55" s="438"/>
    </row>
    <row r="56" spans="1:27" x14ac:dyDescent="0.3">
      <c r="B56" s="442"/>
      <c r="C56" s="442"/>
      <c r="D56" s="442"/>
      <c r="E56" s="442"/>
      <c r="P56" s="16">
        <f t="shared" si="2"/>
        <v>21</v>
      </c>
      <c r="Q56" s="570">
        <f t="shared" si="3"/>
        <v>22</v>
      </c>
      <c r="R56" s="571">
        <f t="shared" si="1"/>
        <v>0.25</v>
      </c>
      <c r="S56" s="572">
        <f t="shared" si="0"/>
        <v>0</v>
      </c>
    </row>
    <row r="57" spans="1:27" x14ac:dyDescent="0.3">
      <c r="B57" s="442"/>
      <c r="C57" s="442"/>
      <c r="D57" s="442"/>
      <c r="E57" s="442"/>
      <c r="P57" s="16">
        <f t="shared" si="2"/>
        <v>22</v>
      </c>
      <c r="Q57" s="570">
        <f t="shared" si="3"/>
        <v>23</v>
      </c>
      <c r="R57" s="571">
        <f t="shared" si="1"/>
        <v>0.25</v>
      </c>
      <c r="S57" s="572">
        <f t="shared" si="0"/>
        <v>0</v>
      </c>
    </row>
    <row r="58" spans="1:27" x14ac:dyDescent="0.3">
      <c r="B58" s="442"/>
      <c r="C58" s="442"/>
      <c r="D58" s="442"/>
      <c r="E58" s="442"/>
      <c r="P58" s="16">
        <f t="shared" si="2"/>
        <v>23</v>
      </c>
      <c r="Q58" s="570">
        <f t="shared" si="3"/>
        <v>24</v>
      </c>
      <c r="R58" s="571">
        <f t="shared" si="1"/>
        <v>0.25</v>
      </c>
      <c r="S58" s="572">
        <f t="shared" si="0"/>
        <v>0</v>
      </c>
    </row>
    <row r="59" spans="1:27" x14ac:dyDescent="0.3">
      <c r="B59" s="442"/>
      <c r="C59" s="442"/>
      <c r="D59" s="442"/>
      <c r="E59" s="442"/>
      <c r="P59" s="16">
        <f t="shared" si="2"/>
        <v>24</v>
      </c>
      <c r="Q59" s="570">
        <f t="shared" si="3"/>
        <v>25</v>
      </c>
      <c r="R59" s="571">
        <f t="shared" si="1"/>
        <v>0.5</v>
      </c>
      <c r="S59" s="572">
        <f t="shared" si="0"/>
        <v>0</v>
      </c>
    </row>
    <row r="60" spans="1:27" x14ac:dyDescent="0.3">
      <c r="B60" s="442"/>
      <c r="C60" s="442"/>
      <c r="D60" s="442"/>
      <c r="E60" s="442"/>
      <c r="P60" s="16">
        <f t="shared" si="2"/>
        <v>25</v>
      </c>
      <c r="Q60" s="570">
        <f t="shared" si="3"/>
        <v>26</v>
      </c>
      <c r="R60" s="571">
        <f t="shared" si="1"/>
        <v>0.5</v>
      </c>
      <c r="S60" s="572">
        <f t="shared" si="0"/>
        <v>0</v>
      </c>
    </row>
    <row r="61" spans="1:27" x14ac:dyDescent="0.3">
      <c r="B61" s="442"/>
      <c r="C61" s="442"/>
      <c r="D61" s="442"/>
      <c r="E61" s="442"/>
      <c r="P61" s="16">
        <f t="shared" si="2"/>
        <v>26</v>
      </c>
      <c r="Q61" s="570">
        <f t="shared" si="3"/>
        <v>27</v>
      </c>
      <c r="R61" s="571">
        <f t="shared" si="1"/>
        <v>0.5</v>
      </c>
      <c r="S61" s="572">
        <f t="shared" si="0"/>
        <v>0</v>
      </c>
    </row>
    <row r="62" spans="1:27" x14ac:dyDescent="0.3">
      <c r="B62" s="442"/>
      <c r="C62" s="442"/>
      <c r="D62" s="442"/>
      <c r="E62" s="442"/>
      <c r="P62" s="16">
        <f t="shared" si="2"/>
        <v>27</v>
      </c>
      <c r="Q62" s="570">
        <f t="shared" si="3"/>
        <v>28</v>
      </c>
      <c r="R62" s="571">
        <f t="shared" si="1"/>
        <v>0.5</v>
      </c>
      <c r="S62" s="572">
        <f t="shared" si="0"/>
        <v>0</v>
      </c>
    </row>
    <row r="63" spans="1:27" x14ac:dyDescent="0.3">
      <c r="B63" s="442"/>
      <c r="C63" s="442"/>
      <c r="D63" s="442"/>
      <c r="E63" s="442"/>
      <c r="P63" s="16">
        <f t="shared" si="2"/>
        <v>28</v>
      </c>
      <c r="Q63" s="570">
        <f t="shared" si="3"/>
        <v>29</v>
      </c>
      <c r="R63" s="571">
        <f t="shared" si="1"/>
        <v>0.5</v>
      </c>
      <c r="S63" s="572">
        <f t="shared" si="0"/>
        <v>0</v>
      </c>
    </row>
    <row r="64" spans="1:27" x14ac:dyDescent="0.3">
      <c r="B64" s="442"/>
      <c r="C64" s="442"/>
      <c r="D64" s="442"/>
      <c r="E64" s="442"/>
      <c r="P64" s="16">
        <f t="shared" si="2"/>
        <v>29</v>
      </c>
      <c r="Q64" s="570">
        <f t="shared" si="3"/>
        <v>30</v>
      </c>
      <c r="R64" s="571">
        <f t="shared" si="1"/>
        <v>0.5</v>
      </c>
      <c r="S64" s="572">
        <f t="shared" si="0"/>
        <v>0</v>
      </c>
    </row>
    <row r="65" spans="2:19" x14ac:dyDescent="0.3">
      <c r="B65" s="442"/>
      <c r="C65" s="442"/>
      <c r="D65" s="442"/>
      <c r="E65" s="442"/>
      <c r="P65" s="16">
        <f t="shared" si="2"/>
        <v>30</v>
      </c>
      <c r="Q65" s="570">
        <f t="shared" si="3"/>
        <v>31</v>
      </c>
      <c r="R65" s="571">
        <f t="shared" si="1"/>
        <v>0.5</v>
      </c>
      <c r="S65" s="572">
        <f t="shared" si="0"/>
        <v>0</v>
      </c>
    </row>
    <row r="66" spans="2:19" x14ac:dyDescent="0.3">
      <c r="B66" s="442"/>
      <c r="C66" s="442"/>
      <c r="D66" s="442"/>
      <c r="E66" s="442"/>
      <c r="P66" s="16">
        <f t="shared" si="2"/>
        <v>31</v>
      </c>
      <c r="Q66" s="570">
        <f t="shared" si="3"/>
        <v>32</v>
      </c>
      <c r="R66" s="571">
        <f t="shared" si="1"/>
        <v>0.5</v>
      </c>
      <c r="S66" s="572">
        <f t="shared" si="0"/>
        <v>0</v>
      </c>
    </row>
    <row r="67" spans="2:19" x14ac:dyDescent="0.3">
      <c r="B67" s="442"/>
      <c r="C67" s="442"/>
      <c r="D67" s="442"/>
      <c r="E67" s="442"/>
      <c r="P67" s="16">
        <f t="shared" si="2"/>
        <v>32</v>
      </c>
      <c r="Q67" s="570">
        <f t="shared" si="3"/>
        <v>33</v>
      </c>
      <c r="R67" s="571">
        <f t="shared" si="1"/>
        <v>0.5</v>
      </c>
      <c r="S67" s="572">
        <f t="shared" ref="S67:S98" si="4">$C$17*R67</f>
        <v>0</v>
      </c>
    </row>
    <row r="68" spans="2:19" x14ac:dyDescent="0.3">
      <c r="B68" s="442"/>
      <c r="C68" s="442"/>
      <c r="D68" s="442"/>
      <c r="E68" s="442"/>
      <c r="P68" s="16">
        <f t="shared" si="2"/>
        <v>33</v>
      </c>
      <c r="Q68" s="570">
        <f t="shared" si="3"/>
        <v>34</v>
      </c>
      <c r="R68" s="571">
        <f t="shared" si="1"/>
        <v>0.5</v>
      </c>
      <c r="S68" s="572">
        <f t="shared" si="4"/>
        <v>0</v>
      </c>
    </row>
    <row r="69" spans="2:19" x14ac:dyDescent="0.3">
      <c r="B69" s="442"/>
      <c r="C69" s="442"/>
      <c r="D69" s="442"/>
      <c r="E69" s="442"/>
      <c r="P69" s="16">
        <f t="shared" si="2"/>
        <v>34</v>
      </c>
      <c r="Q69" s="570">
        <f t="shared" si="3"/>
        <v>35</v>
      </c>
      <c r="R69" s="571">
        <f t="shared" si="1"/>
        <v>0.5</v>
      </c>
      <c r="S69" s="572">
        <f t="shared" si="4"/>
        <v>0</v>
      </c>
    </row>
    <row r="70" spans="2:19" x14ac:dyDescent="0.3">
      <c r="B70" s="442"/>
      <c r="C70" s="442"/>
      <c r="D70" s="442"/>
      <c r="E70" s="442"/>
      <c r="P70" s="16">
        <f t="shared" si="2"/>
        <v>35</v>
      </c>
      <c r="Q70" s="570">
        <f t="shared" si="3"/>
        <v>36</v>
      </c>
      <c r="R70" s="571">
        <f t="shared" si="1"/>
        <v>0.5</v>
      </c>
      <c r="S70" s="572">
        <f t="shared" si="4"/>
        <v>0</v>
      </c>
    </row>
    <row r="71" spans="2:19" x14ac:dyDescent="0.3">
      <c r="B71" s="442"/>
      <c r="C71" s="442"/>
      <c r="D71" s="442"/>
      <c r="E71" s="442"/>
      <c r="P71" s="16">
        <f t="shared" si="2"/>
        <v>36</v>
      </c>
      <c r="Q71" s="570">
        <f t="shared" si="3"/>
        <v>37</v>
      </c>
      <c r="R71" s="571">
        <f t="shared" si="1"/>
        <v>0.75</v>
      </c>
      <c r="S71" s="572">
        <f t="shared" si="4"/>
        <v>0</v>
      </c>
    </row>
    <row r="72" spans="2:19" x14ac:dyDescent="0.3">
      <c r="B72" s="442"/>
      <c r="C72" s="442"/>
      <c r="D72" s="442"/>
      <c r="E72" s="442"/>
      <c r="P72" s="16">
        <f t="shared" si="2"/>
        <v>37</v>
      </c>
      <c r="Q72" s="570">
        <f t="shared" si="3"/>
        <v>38</v>
      </c>
      <c r="R72" s="571">
        <f t="shared" si="1"/>
        <v>0.75</v>
      </c>
      <c r="S72" s="572">
        <f t="shared" si="4"/>
        <v>0</v>
      </c>
    </row>
    <row r="73" spans="2:19" x14ac:dyDescent="0.3">
      <c r="B73" s="442"/>
      <c r="C73" s="442"/>
      <c r="D73" s="442"/>
      <c r="E73" s="442"/>
      <c r="P73" s="16">
        <f t="shared" si="2"/>
        <v>38</v>
      </c>
      <c r="Q73" s="570">
        <f t="shared" si="3"/>
        <v>39</v>
      </c>
      <c r="R73" s="571">
        <f t="shared" si="1"/>
        <v>0.75</v>
      </c>
      <c r="S73" s="572">
        <f t="shared" si="4"/>
        <v>0</v>
      </c>
    </row>
    <row r="74" spans="2:19" x14ac:dyDescent="0.3">
      <c r="B74" s="442"/>
      <c r="C74" s="442"/>
      <c r="D74" s="442"/>
      <c r="E74" s="442"/>
      <c r="P74" s="16">
        <f t="shared" si="2"/>
        <v>39</v>
      </c>
      <c r="Q74" s="570">
        <f t="shared" si="3"/>
        <v>40</v>
      </c>
      <c r="R74" s="571">
        <f t="shared" si="1"/>
        <v>0.75</v>
      </c>
      <c r="S74" s="572">
        <f t="shared" si="4"/>
        <v>0</v>
      </c>
    </row>
    <row r="75" spans="2:19" x14ac:dyDescent="0.3">
      <c r="B75" s="442"/>
      <c r="C75" s="442"/>
      <c r="D75" s="442"/>
      <c r="E75" s="442"/>
      <c r="P75" s="16">
        <f t="shared" si="2"/>
        <v>40</v>
      </c>
      <c r="Q75" s="570">
        <f t="shared" si="3"/>
        <v>41</v>
      </c>
      <c r="R75" s="571">
        <f t="shared" si="1"/>
        <v>0.75</v>
      </c>
      <c r="S75" s="572">
        <f t="shared" si="4"/>
        <v>0</v>
      </c>
    </row>
    <row r="76" spans="2:19" x14ac:dyDescent="0.3">
      <c r="B76" s="442"/>
      <c r="C76" s="442"/>
      <c r="D76" s="442"/>
      <c r="E76" s="442"/>
      <c r="P76" s="16">
        <f t="shared" si="2"/>
        <v>41</v>
      </c>
      <c r="Q76" s="570">
        <f t="shared" si="3"/>
        <v>42</v>
      </c>
      <c r="R76" s="571">
        <f t="shared" si="1"/>
        <v>0.75</v>
      </c>
      <c r="S76" s="572">
        <f t="shared" si="4"/>
        <v>0</v>
      </c>
    </row>
    <row r="77" spans="2:19" x14ac:dyDescent="0.3">
      <c r="B77" s="442"/>
      <c r="C77" s="442"/>
      <c r="D77" s="442"/>
      <c r="E77" s="442"/>
      <c r="P77" s="16">
        <f t="shared" si="2"/>
        <v>42</v>
      </c>
      <c r="Q77" s="570">
        <f t="shared" si="3"/>
        <v>43</v>
      </c>
      <c r="R77" s="571">
        <f t="shared" si="1"/>
        <v>0.75</v>
      </c>
      <c r="S77" s="572">
        <f t="shared" si="4"/>
        <v>0</v>
      </c>
    </row>
    <row r="78" spans="2:19" x14ac:dyDescent="0.3">
      <c r="B78" s="442"/>
      <c r="C78" s="442"/>
      <c r="D78" s="442"/>
      <c r="E78" s="442"/>
      <c r="P78" s="16">
        <f t="shared" si="2"/>
        <v>43</v>
      </c>
      <c r="Q78" s="570">
        <f t="shared" si="3"/>
        <v>44</v>
      </c>
      <c r="R78" s="571">
        <f t="shared" si="1"/>
        <v>0.75</v>
      </c>
      <c r="S78" s="572">
        <f t="shared" si="4"/>
        <v>0</v>
      </c>
    </row>
    <row r="79" spans="2:19" x14ac:dyDescent="0.3">
      <c r="B79" s="442"/>
      <c r="C79" s="442"/>
      <c r="D79" s="442"/>
      <c r="E79" s="442"/>
      <c r="P79" s="16">
        <f t="shared" si="2"/>
        <v>44</v>
      </c>
      <c r="Q79" s="570">
        <f t="shared" si="3"/>
        <v>45</v>
      </c>
      <c r="R79" s="571">
        <f t="shared" si="1"/>
        <v>0.75</v>
      </c>
      <c r="S79" s="572">
        <f t="shared" si="4"/>
        <v>0</v>
      </c>
    </row>
    <row r="80" spans="2:19" x14ac:dyDescent="0.3">
      <c r="B80" s="442"/>
      <c r="C80" s="442"/>
      <c r="D80" s="442"/>
      <c r="E80" s="442"/>
      <c r="P80" s="16">
        <f t="shared" si="2"/>
        <v>45</v>
      </c>
      <c r="Q80" s="570">
        <f t="shared" si="3"/>
        <v>46</v>
      </c>
      <c r="R80" s="571">
        <f t="shared" si="1"/>
        <v>0.75</v>
      </c>
      <c r="S80" s="572">
        <f t="shared" si="4"/>
        <v>0</v>
      </c>
    </row>
    <row r="81" spans="2:19" x14ac:dyDescent="0.3">
      <c r="B81" s="442"/>
      <c r="C81" s="442"/>
      <c r="D81" s="442"/>
      <c r="E81" s="442"/>
      <c r="P81" s="16">
        <f t="shared" si="2"/>
        <v>46</v>
      </c>
      <c r="Q81" s="570">
        <f t="shared" si="3"/>
        <v>47</v>
      </c>
      <c r="R81" s="571">
        <f t="shared" si="1"/>
        <v>0.75</v>
      </c>
      <c r="S81" s="572">
        <f t="shared" si="4"/>
        <v>0</v>
      </c>
    </row>
    <row r="82" spans="2:19" x14ac:dyDescent="0.3">
      <c r="B82" s="442"/>
      <c r="C82" s="442"/>
      <c r="D82" s="442"/>
      <c r="E82" s="442"/>
      <c r="P82" s="16">
        <f t="shared" si="2"/>
        <v>47</v>
      </c>
      <c r="Q82" s="570">
        <f t="shared" si="3"/>
        <v>48</v>
      </c>
      <c r="R82" s="571">
        <f t="shared" si="1"/>
        <v>0.75</v>
      </c>
      <c r="S82" s="572">
        <f t="shared" si="4"/>
        <v>0</v>
      </c>
    </row>
    <row r="83" spans="2:19" x14ac:dyDescent="0.3">
      <c r="B83" s="442"/>
      <c r="C83" s="442"/>
      <c r="D83" s="442"/>
      <c r="E83" s="442"/>
      <c r="P83" s="16">
        <f t="shared" si="2"/>
        <v>48</v>
      </c>
      <c r="Q83" s="570">
        <f t="shared" si="3"/>
        <v>49</v>
      </c>
      <c r="R83" s="571">
        <f t="shared" si="1"/>
        <v>0.75</v>
      </c>
      <c r="S83" s="572">
        <f t="shared" si="4"/>
        <v>0</v>
      </c>
    </row>
    <row r="84" spans="2:19" x14ac:dyDescent="0.3">
      <c r="B84" s="442"/>
      <c r="C84" s="442"/>
      <c r="D84" s="442"/>
      <c r="E84" s="442"/>
      <c r="P84" s="16">
        <f t="shared" si="2"/>
        <v>49</v>
      </c>
      <c r="Q84" s="570">
        <f t="shared" si="3"/>
        <v>50</v>
      </c>
      <c r="R84" s="571">
        <f t="shared" si="1"/>
        <v>1</v>
      </c>
      <c r="S84" s="572">
        <f t="shared" si="4"/>
        <v>0</v>
      </c>
    </row>
    <row r="85" spans="2:19" x14ac:dyDescent="0.3">
      <c r="B85" s="442"/>
      <c r="C85" s="442"/>
      <c r="D85" s="442"/>
      <c r="E85" s="442"/>
      <c r="P85" s="16">
        <f t="shared" si="2"/>
        <v>50</v>
      </c>
      <c r="Q85" s="570">
        <f t="shared" si="3"/>
        <v>51</v>
      </c>
      <c r="R85" s="571">
        <f t="shared" si="1"/>
        <v>1</v>
      </c>
      <c r="S85" s="572">
        <f t="shared" si="4"/>
        <v>0</v>
      </c>
    </row>
    <row r="86" spans="2:19" x14ac:dyDescent="0.3">
      <c r="B86" s="442"/>
      <c r="C86" s="442"/>
      <c r="D86" s="442"/>
      <c r="E86" s="442"/>
      <c r="P86" s="16">
        <f t="shared" si="2"/>
        <v>51</v>
      </c>
      <c r="Q86" s="570">
        <f t="shared" si="3"/>
        <v>52</v>
      </c>
      <c r="R86" s="571">
        <f t="shared" si="1"/>
        <v>1</v>
      </c>
      <c r="S86" s="572">
        <f t="shared" si="4"/>
        <v>0</v>
      </c>
    </row>
    <row r="87" spans="2:19" x14ac:dyDescent="0.3">
      <c r="B87" s="442"/>
      <c r="C87" s="442"/>
      <c r="D87" s="442"/>
      <c r="E87" s="442"/>
      <c r="P87" s="16">
        <f t="shared" si="2"/>
        <v>52</v>
      </c>
      <c r="Q87" s="570">
        <f t="shared" si="3"/>
        <v>53</v>
      </c>
      <c r="R87" s="571">
        <f t="shared" si="1"/>
        <v>1</v>
      </c>
      <c r="S87" s="572">
        <f t="shared" si="4"/>
        <v>0</v>
      </c>
    </row>
    <row r="88" spans="2:19" x14ac:dyDescent="0.3">
      <c r="B88" s="442"/>
      <c r="C88" s="442"/>
      <c r="D88" s="442"/>
      <c r="E88" s="442"/>
      <c r="P88" s="16">
        <f t="shared" si="2"/>
        <v>53</v>
      </c>
      <c r="Q88" s="570">
        <f t="shared" si="3"/>
        <v>54</v>
      </c>
      <c r="R88" s="571">
        <f t="shared" si="1"/>
        <v>1</v>
      </c>
      <c r="S88" s="572">
        <f t="shared" si="4"/>
        <v>0</v>
      </c>
    </row>
    <row r="89" spans="2:19" x14ac:dyDescent="0.3">
      <c r="B89" s="442"/>
      <c r="C89" s="442"/>
      <c r="D89" s="442"/>
      <c r="E89" s="442"/>
      <c r="P89" s="16">
        <f t="shared" si="2"/>
        <v>54</v>
      </c>
      <c r="Q89" s="570">
        <f t="shared" si="3"/>
        <v>55</v>
      </c>
      <c r="R89" s="571">
        <f t="shared" si="1"/>
        <v>1</v>
      </c>
      <c r="S89" s="572">
        <f t="shared" si="4"/>
        <v>0</v>
      </c>
    </row>
    <row r="90" spans="2:19" x14ac:dyDescent="0.3">
      <c r="B90" s="442"/>
      <c r="C90" s="442"/>
      <c r="D90" s="442"/>
      <c r="E90" s="442"/>
      <c r="P90" s="16">
        <f t="shared" si="2"/>
        <v>55</v>
      </c>
      <c r="Q90" s="570">
        <f t="shared" si="3"/>
        <v>56</v>
      </c>
      <c r="R90" s="571">
        <f t="shared" si="1"/>
        <v>1</v>
      </c>
      <c r="S90" s="572">
        <f t="shared" si="4"/>
        <v>0</v>
      </c>
    </row>
    <row r="91" spans="2:19" x14ac:dyDescent="0.3">
      <c r="B91" s="442"/>
      <c r="C91" s="442"/>
      <c r="D91" s="442"/>
      <c r="E91" s="442"/>
      <c r="P91" s="16">
        <f t="shared" si="2"/>
        <v>56</v>
      </c>
      <c r="Q91" s="570">
        <f t="shared" si="3"/>
        <v>57</v>
      </c>
      <c r="R91" s="571">
        <f t="shared" si="1"/>
        <v>1</v>
      </c>
      <c r="S91" s="572">
        <f t="shared" si="4"/>
        <v>0</v>
      </c>
    </row>
    <row r="92" spans="2:19" x14ac:dyDescent="0.3">
      <c r="B92" s="442"/>
      <c r="C92" s="442"/>
      <c r="D92" s="442"/>
      <c r="E92" s="442"/>
      <c r="P92" s="16">
        <f t="shared" si="2"/>
        <v>57</v>
      </c>
      <c r="Q92" s="570">
        <f t="shared" si="3"/>
        <v>58</v>
      </c>
      <c r="R92" s="571">
        <f t="shared" si="1"/>
        <v>1</v>
      </c>
      <c r="S92" s="572">
        <f t="shared" si="4"/>
        <v>0</v>
      </c>
    </row>
    <row r="93" spans="2:19" x14ac:dyDescent="0.3">
      <c r="B93" s="442"/>
      <c r="C93" s="442"/>
      <c r="D93" s="442"/>
      <c r="E93" s="442"/>
      <c r="P93" s="16">
        <f t="shared" si="2"/>
        <v>58</v>
      </c>
      <c r="Q93" s="570">
        <f t="shared" si="3"/>
        <v>59</v>
      </c>
      <c r="R93" s="571">
        <f t="shared" si="1"/>
        <v>1</v>
      </c>
      <c r="S93" s="572">
        <f t="shared" si="4"/>
        <v>0</v>
      </c>
    </row>
    <row r="94" spans="2:19" x14ac:dyDescent="0.3">
      <c r="B94" s="442"/>
      <c r="C94" s="442"/>
      <c r="D94" s="442"/>
      <c r="E94" s="442"/>
      <c r="P94" s="16">
        <f t="shared" si="2"/>
        <v>59</v>
      </c>
      <c r="Q94" s="570">
        <f t="shared" si="3"/>
        <v>60</v>
      </c>
      <c r="R94" s="571">
        <f t="shared" si="1"/>
        <v>1</v>
      </c>
      <c r="S94" s="572">
        <f t="shared" si="4"/>
        <v>0</v>
      </c>
    </row>
    <row r="95" spans="2:19" x14ac:dyDescent="0.3">
      <c r="B95" s="442"/>
      <c r="C95" s="442"/>
      <c r="D95" s="442"/>
      <c r="E95" s="442"/>
      <c r="P95" s="16">
        <f t="shared" si="2"/>
        <v>60</v>
      </c>
      <c r="Q95" s="570">
        <f t="shared" si="3"/>
        <v>61</v>
      </c>
      <c r="R95" s="571">
        <f t="shared" si="1"/>
        <v>1</v>
      </c>
      <c r="S95" s="572">
        <f t="shared" si="4"/>
        <v>0</v>
      </c>
    </row>
    <row r="96" spans="2:19" x14ac:dyDescent="0.3">
      <c r="B96" s="442"/>
      <c r="C96" s="442"/>
      <c r="D96" s="442"/>
      <c r="E96" s="442"/>
      <c r="P96" s="16">
        <f t="shared" si="2"/>
        <v>61</v>
      </c>
      <c r="Q96" s="570">
        <f t="shared" si="3"/>
        <v>62</v>
      </c>
      <c r="R96" s="571">
        <f t="shared" si="1"/>
        <v>1</v>
      </c>
      <c r="S96" s="572">
        <f t="shared" si="4"/>
        <v>0</v>
      </c>
    </row>
    <row r="97" spans="2:19" x14ac:dyDescent="0.3">
      <c r="B97" s="442"/>
      <c r="C97" s="442"/>
      <c r="D97" s="442"/>
      <c r="E97" s="442"/>
      <c r="P97" s="16">
        <f t="shared" si="2"/>
        <v>62</v>
      </c>
      <c r="Q97" s="570">
        <f t="shared" si="3"/>
        <v>63</v>
      </c>
      <c r="R97" s="571">
        <f t="shared" si="1"/>
        <v>1</v>
      </c>
      <c r="S97" s="572">
        <f t="shared" si="4"/>
        <v>0</v>
      </c>
    </row>
    <row r="98" spans="2:19" x14ac:dyDescent="0.3">
      <c r="B98" s="442"/>
      <c r="C98" s="442"/>
      <c r="D98" s="442"/>
      <c r="E98" s="442"/>
      <c r="P98" s="16">
        <f t="shared" si="2"/>
        <v>63</v>
      </c>
      <c r="Q98" s="570">
        <f t="shared" si="3"/>
        <v>64</v>
      </c>
      <c r="R98" s="571">
        <f t="shared" si="1"/>
        <v>1</v>
      </c>
      <c r="S98" s="572">
        <f t="shared" si="4"/>
        <v>0</v>
      </c>
    </row>
    <row r="99" spans="2:19" x14ac:dyDescent="0.3">
      <c r="B99" s="442"/>
      <c r="C99" s="442"/>
      <c r="D99" s="442"/>
      <c r="E99" s="442"/>
      <c r="P99" s="16">
        <f t="shared" si="2"/>
        <v>64</v>
      </c>
      <c r="Q99" s="570">
        <f t="shared" si="3"/>
        <v>65</v>
      </c>
      <c r="R99" s="571">
        <f t="shared" si="1"/>
        <v>1</v>
      </c>
      <c r="S99" s="572">
        <f t="shared" ref="S99:S130" si="5">$C$17*R99</f>
        <v>0</v>
      </c>
    </row>
    <row r="100" spans="2:19" x14ac:dyDescent="0.3">
      <c r="B100" s="442"/>
      <c r="C100" s="442"/>
      <c r="D100" s="442"/>
      <c r="E100" s="442"/>
      <c r="P100" s="16">
        <f t="shared" si="2"/>
        <v>65</v>
      </c>
      <c r="Q100" s="570">
        <f t="shared" si="3"/>
        <v>66</v>
      </c>
      <c r="R100" s="571">
        <f t="shared" ref="R100:R134" si="6">VLOOKUP(Q100,$P$25:$Q$29,2,1)</f>
        <v>1</v>
      </c>
      <c r="S100" s="572">
        <f t="shared" si="5"/>
        <v>0</v>
      </c>
    </row>
    <row r="101" spans="2:19" x14ac:dyDescent="0.3">
      <c r="B101" s="442"/>
      <c r="C101" s="442"/>
      <c r="D101" s="442"/>
      <c r="E101" s="442"/>
      <c r="P101" s="16">
        <f t="shared" ref="P101:P134" si="7">1+P100</f>
        <v>66</v>
      </c>
      <c r="Q101" s="570">
        <f t="shared" ref="Q101:Q134" si="8">Q100+1</f>
        <v>67</v>
      </c>
      <c r="R101" s="571">
        <f t="shared" si="6"/>
        <v>1</v>
      </c>
      <c r="S101" s="572">
        <f t="shared" si="5"/>
        <v>0</v>
      </c>
    </row>
    <row r="102" spans="2:19" x14ac:dyDescent="0.3">
      <c r="B102" s="442"/>
      <c r="C102" s="442"/>
      <c r="D102" s="442"/>
      <c r="E102" s="442"/>
      <c r="P102" s="16">
        <f t="shared" si="7"/>
        <v>67</v>
      </c>
      <c r="Q102" s="570">
        <f t="shared" si="8"/>
        <v>68</v>
      </c>
      <c r="R102" s="571">
        <f t="shared" si="6"/>
        <v>1</v>
      </c>
      <c r="S102" s="572">
        <f t="shared" si="5"/>
        <v>0</v>
      </c>
    </row>
    <row r="103" spans="2:19" x14ac:dyDescent="0.3">
      <c r="B103" s="442"/>
      <c r="C103" s="442"/>
      <c r="D103" s="442"/>
      <c r="E103" s="442"/>
      <c r="P103" s="16">
        <f t="shared" si="7"/>
        <v>68</v>
      </c>
      <c r="Q103" s="570">
        <f t="shared" si="8"/>
        <v>69</v>
      </c>
      <c r="R103" s="571">
        <f t="shared" si="6"/>
        <v>1</v>
      </c>
      <c r="S103" s="572">
        <f t="shared" si="5"/>
        <v>0</v>
      </c>
    </row>
    <row r="104" spans="2:19" x14ac:dyDescent="0.3">
      <c r="B104" s="442"/>
      <c r="C104" s="442"/>
      <c r="D104" s="442"/>
      <c r="E104" s="442"/>
      <c r="P104" s="16">
        <f t="shared" si="7"/>
        <v>69</v>
      </c>
      <c r="Q104" s="570">
        <f t="shared" si="8"/>
        <v>70</v>
      </c>
      <c r="R104" s="571">
        <f t="shared" si="6"/>
        <v>1</v>
      </c>
      <c r="S104" s="572">
        <f t="shared" si="5"/>
        <v>0</v>
      </c>
    </row>
    <row r="105" spans="2:19" x14ac:dyDescent="0.3">
      <c r="B105" s="442"/>
      <c r="C105" s="442"/>
      <c r="D105" s="442"/>
      <c r="E105" s="442"/>
      <c r="P105" s="16">
        <f t="shared" si="7"/>
        <v>70</v>
      </c>
      <c r="Q105" s="570">
        <f t="shared" si="8"/>
        <v>71</v>
      </c>
      <c r="R105" s="571">
        <f t="shared" si="6"/>
        <v>1</v>
      </c>
      <c r="S105" s="572">
        <f t="shared" si="5"/>
        <v>0</v>
      </c>
    </row>
    <row r="106" spans="2:19" x14ac:dyDescent="0.3">
      <c r="B106" s="442"/>
      <c r="C106" s="442"/>
      <c r="D106" s="442"/>
      <c r="E106" s="442"/>
      <c r="P106" s="16">
        <f t="shared" si="7"/>
        <v>71</v>
      </c>
      <c r="Q106" s="570">
        <f t="shared" si="8"/>
        <v>72</v>
      </c>
      <c r="R106" s="571">
        <f t="shared" si="6"/>
        <v>1</v>
      </c>
      <c r="S106" s="572">
        <f t="shared" si="5"/>
        <v>0</v>
      </c>
    </row>
    <row r="107" spans="2:19" x14ac:dyDescent="0.3">
      <c r="B107" s="442"/>
      <c r="C107" s="442"/>
      <c r="D107" s="442"/>
      <c r="E107" s="442"/>
      <c r="P107" s="16">
        <f t="shared" si="7"/>
        <v>72</v>
      </c>
      <c r="Q107" s="570">
        <f t="shared" si="8"/>
        <v>73</v>
      </c>
      <c r="R107" s="571">
        <f t="shared" si="6"/>
        <v>1</v>
      </c>
      <c r="S107" s="572">
        <f t="shared" si="5"/>
        <v>0</v>
      </c>
    </row>
    <row r="108" spans="2:19" x14ac:dyDescent="0.3">
      <c r="B108" s="442"/>
      <c r="C108" s="442"/>
      <c r="D108" s="442"/>
      <c r="E108" s="442"/>
      <c r="P108" s="16">
        <f t="shared" si="7"/>
        <v>73</v>
      </c>
      <c r="Q108" s="570">
        <f t="shared" si="8"/>
        <v>74</v>
      </c>
      <c r="R108" s="571">
        <f t="shared" si="6"/>
        <v>1</v>
      </c>
      <c r="S108" s="572">
        <f t="shared" si="5"/>
        <v>0</v>
      </c>
    </row>
    <row r="109" spans="2:19" x14ac:dyDescent="0.3">
      <c r="B109" s="442"/>
      <c r="C109" s="442"/>
      <c r="D109" s="442"/>
      <c r="E109" s="442"/>
      <c r="P109" s="16">
        <f t="shared" si="7"/>
        <v>74</v>
      </c>
      <c r="Q109" s="570">
        <f t="shared" si="8"/>
        <v>75</v>
      </c>
      <c r="R109" s="571">
        <f t="shared" si="6"/>
        <v>1</v>
      </c>
      <c r="S109" s="572">
        <f t="shared" si="5"/>
        <v>0</v>
      </c>
    </row>
    <row r="110" spans="2:19" x14ac:dyDescent="0.3">
      <c r="B110" s="442"/>
      <c r="C110" s="442"/>
      <c r="D110" s="442"/>
      <c r="E110" s="442"/>
      <c r="P110" s="16">
        <f t="shared" si="7"/>
        <v>75</v>
      </c>
      <c r="Q110" s="570">
        <f t="shared" si="8"/>
        <v>76</v>
      </c>
      <c r="R110" s="571">
        <f t="shared" si="6"/>
        <v>1</v>
      </c>
      <c r="S110" s="572">
        <f t="shared" si="5"/>
        <v>0</v>
      </c>
    </row>
    <row r="111" spans="2:19" x14ac:dyDescent="0.3">
      <c r="B111" s="442"/>
      <c r="C111" s="442"/>
      <c r="D111" s="442"/>
      <c r="E111" s="442"/>
      <c r="P111" s="16">
        <f t="shared" si="7"/>
        <v>76</v>
      </c>
      <c r="Q111" s="570">
        <f t="shared" si="8"/>
        <v>77</v>
      </c>
      <c r="R111" s="571">
        <f t="shared" si="6"/>
        <v>1</v>
      </c>
      <c r="S111" s="572">
        <f t="shared" si="5"/>
        <v>0</v>
      </c>
    </row>
    <row r="112" spans="2:19" x14ac:dyDescent="0.3">
      <c r="B112" s="442"/>
      <c r="C112" s="442"/>
      <c r="D112" s="442"/>
      <c r="E112" s="442"/>
      <c r="P112" s="16">
        <f t="shared" si="7"/>
        <v>77</v>
      </c>
      <c r="Q112" s="570">
        <f t="shared" si="8"/>
        <v>78</v>
      </c>
      <c r="R112" s="571">
        <f t="shared" si="6"/>
        <v>1</v>
      </c>
      <c r="S112" s="572">
        <f t="shared" si="5"/>
        <v>0</v>
      </c>
    </row>
    <row r="113" spans="2:19" x14ac:dyDescent="0.3">
      <c r="B113" s="442"/>
      <c r="C113" s="442"/>
      <c r="D113" s="442"/>
      <c r="E113" s="442"/>
      <c r="P113" s="16">
        <f t="shared" si="7"/>
        <v>78</v>
      </c>
      <c r="Q113" s="570">
        <f t="shared" si="8"/>
        <v>79</v>
      </c>
      <c r="R113" s="571">
        <f t="shared" si="6"/>
        <v>1</v>
      </c>
      <c r="S113" s="572">
        <f t="shared" si="5"/>
        <v>0</v>
      </c>
    </row>
    <row r="114" spans="2:19" x14ac:dyDescent="0.3">
      <c r="B114" s="442"/>
      <c r="C114" s="442"/>
      <c r="D114" s="442"/>
      <c r="E114" s="442"/>
      <c r="P114" s="16">
        <f t="shared" si="7"/>
        <v>79</v>
      </c>
      <c r="Q114" s="570">
        <f t="shared" si="8"/>
        <v>80</v>
      </c>
      <c r="R114" s="571">
        <f t="shared" si="6"/>
        <v>1</v>
      </c>
      <c r="S114" s="572">
        <f t="shared" si="5"/>
        <v>0</v>
      </c>
    </row>
    <row r="115" spans="2:19" x14ac:dyDescent="0.3">
      <c r="B115" s="442"/>
      <c r="C115" s="442"/>
      <c r="D115" s="442"/>
      <c r="E115" s="442"/>
      <c r="P115" s="16">
        <f t="shared" si="7"/>
        <v>80</v>
      </c>
      <c r="Q115" s="570">
        <f t="shared" si="8"/>
        <v>81</v>
      </c>
      <c r="R115" s="571">
        <f t="shared" si="6"/>
        <v>1</v>
      </c>
      <c r="S115" s="572">
        <f t="shared" si="5"/>
        <v>0</v>
      </c>
    </row>
    <row r="116" spans="2:19" x14ac:dyDescent="0.3">
      <c r="B116" s="442"/>
      <c r="C116" s="442"/>
      <c r="D116" s="442"/>
      <c r="E116" s="442"/>
      <c r="P116" s="16">
        <f t="shared" si="7"/>
        <v>81</v>
      </c>
      <c r="Q116" s="570">
        <f t="shared" si="8"/>
        <v>82</v>
      </c>
      <c r="R116" s="571">
        <f t="shared" si="6"/>
        <v>1</v>
      </c>
      <c r="S116" s="572">
        <f t="shared" si="5"/>
        <v>0</v>
      </c>
    </row>
    <row r="117" spans="2:19" x14ac:dyDescent="0.3">
      <c r="B117" s="442"/>
      <c r="C117" s="442"/>
      <c r="D117" s="442"/>
      <c r="E117" s="442"/>
      <c r="P117" s="16">
        <f t="shared" si="7"/>
        <v>82</v>
      </c>
      <c r="Q117" s="570">
        <f t="shared" si="8"/>
        <v>83</v>
      </c>
      <c r="R117" s="571">
        <f t="shared" si="6"/>
        <v>1</v>
      </c>
      <c r="S117" s="572">
        <f t="shared" si="5"/>
        <v>0</v>
      </c>
    </row>
    <row r="118" spans="2:19" x14ac:dyDescent="0.3">
      <c r="B118" s="442"/>
      <c r="C118" s="442"/>
      <c r="D118" s="442"/>
      <c r="E118" s="442"/>
      <c r="P118" s="16">
        <f t="shared" si="7"/>
        <v>83</v>
      </c>
      <c r="Q118" s="570">
        <f t="shared" si="8"/>
        <v>84</v>
      </c>
      <c r="R118" s="571">
        <f t="shared" si="6"/>
        <v>1</v>
      </c>
      <c r="S118" s="572">
        <f t="shared" si="5"/>
        <v>0</v>
      </c>
    </row>
    <row r="119" spans="2:19" x14ac:dyDescent="0.3">
      <c r="B119" s="442"/>
      <c r="C119" s="442"/>
      <c r="D119" s="442"/>
      <c r="E119" s="442"/>
      <c r="P119" s="16">
        <f t="shared" si="7"/>
        <v>84</v>
      </c>
      <c r="Q119" s="570">
        <f t="shared" si="8"/>
        <v>85</v>
      </c>
      <c r="R119" s="571">
        <f t="shared" si="6"/>
        <v>1</v>
      </c>
      <c r="S119" s="572">
        <f t="shared" si="5"/>
        <v>0</v>
      </c>
    </row>
    <row r="120" spans="2:19" x14ac:dyDescent="0.3">
      <c r="B120" s="442"/>
      <c r="C120" s="442"/>
      <c r="D120" s="442"/>
      <c r="E120" s="442"/>
      <c r="P120" s="16">
        <f t="shared" si="7"/>
        <v>85</v>
      </c>
      <c r="Q120" s="570">
        <f t="shared" si="8"/>
        <v>86</v>
      </c>
      <c r="R120" s="571">
        <f t="shared" si="6"/>
        <v>1</v>
      </c>
      <c r="S120" s="572">
        <f t="shared" si="5"/>
        <v>0</v>
      </c>
    </row>
    <row r="121" spans="2:19" x14ac:dyDescent="0.3">
      <c r="B121" s="442"/>
      <c r="C121" s="442"/>
      <c r="D121" s="442"/>
      <c r="E121" s="442"/>
      <c r="P121" s="16">
        <f t="shared" si="7"/>
        <v>86</v>
      </c>
      <c r="Q121" s="570">
        <f t="shared" si="8"/>
        <v>87</v>
      </c>
      <c r="R121" s="571">
        <f t="shared" si="6"/>
        <v>1</v>
      </c>
      <c r="S121" s="572">
        <f t="shared" si="5"/>
        <v>0</v>
      </c>
    </row>
    <row r="122" spans="2:19" x14ac:dyDescent="0.3">
      <c r="B122" s="442"/>
      <c r="C122" s="442"/>
      <c r="D122" s="442"/>
      <c r="E122" s="442"/>
      <c r="P122" s="16">
        <f t="shared" si="7"/>
        <v>87</v>
      </c>
      <c r="Q122" s="570">
        <f t="shared" si="8"/>
        <v>88</v>
      </c>
      <c r="R122" s="571">
        <f t="shared" si="6"/>
        <v>1</v>
      </c>
      <c r="S122" s="572">
        <f t="shared" si="5"/>
        <v>0</v>
      </c>
    </row>
    <row r="123" spans="2:19" x14ac:dyDescent="0.3">
      <c r="B123" s="442"/>
      <c r="C123" s="442"/>
      <c r="D123" s="442"/>
      <c r="E123" s="442"/>
      <c r="P123" s="16">
        <f t="shared" si="7"/>
        <v>88</v>
      </c>
      <c r="Q123" s="570">
        <f t="shared" si="8"/>
        <v>89</v>
      </c>
      <c r="R123" s="571">
        <f t="shared" si="6"/>
        <v>1</v>
      </c>
      <c r="S123" s="572">
        <f t="shared" si="5"/>
        <v>0</v>
      </c>
    </row>
    <row r="124" spans="2:19" x14ac:dyDescent="0.3">
      <c r="B124" s="442"/>
      <c r="C124" s="442"/>
      <c r="D124" s="442"/>
      <c r="E124" s="442"/>
      <c r="P124" s="16">
        <f t="shared" si="7"/>
        <v>89</v>
      </c>
      <c r="Q124" s="570">
        <f t="shared" si="8"/>
        <v>90</v>
      </c>
      <c r="R124" s="571">
        <f t="shared" si="6"/>
        <v>1</v>
      </c>
      <c r="S124" s="572">
        <f t="shared" si="5"/>
        <v>0</v>
      </c>
    </row>
    <row r="125" spans="2:19" x14ac:dyDescent="0.3">
      <c r="B125" s="442"/>
      <c r="C125" s="442"/>
      <c r="D125" s="442"/>
      <c r="E125" s="442"/>
      <c r="P125" s="16">
        <f t="shared" si="7"/>
        <v>90</v>
      </c>
      <c r="Q125" s="570">
        <f t="shared" si="8"/>
        <v>91</v>
      </c>
      <c r="R125" s="571">
        <f t="shared" si="6"/>
        <v>1</v>
      </c>
      <c r="S125" s="572">
        <f t="shared" si="5"/>
        <v>0</v>
      </c>
    </row>
    <row r="126" spans="2:19" x14ac:dyDescent="0.3">
      <c r="B126" s="442"/>
      <c r="C126" s="442"/>
      <c r="D126" s="442"/>
      <c r="E126" s="442"/>
      <c r="P126" s="16">
        <f t="shared" si="7"/>
        <v>91</v>
      </c>
      <c r="Q126" s="570">
        <f t="shared" si="8"/>
        <v>92</v>
      </c>
      <c r="R126" s="571">
        <f t="shared" si="6"/>
        <v>1</v>
      </c>
      <c r="S126" s="572">
        <f t="shared" si="5"/>
        <v>0</v>
      </c>
    </row>
    <row r="127" spans="2:19" x14ac:dyDescent="0.3">
      <c r="B127" s="442"/>
      <c r="C127" s="442"/>
      <c r="D127" s="442"/>
      <c r="E127" s="442"/>
      <c r="P127" s="16">
        <f t="shared" si="7"/>
        <v>92</v>
      </c>
      <c r="Q127" s="570">
        <f t="shared" si="8"/>
        <v>93</v>
      </c>
      <c r="R127" s="571">
        <f t="shared" si="6"/>
        <v>1</v>
      </c>
      <c r="S127" s="572">
        <f t="shared" si="5"/>
        <v>0</v>
      </c>
    </row>
    <row r="128" spans="2:19" x14ac:dyDescent="0.3">
      <c r="B128" s="442"/>
      <c r="C128" s="442"/>
      <c r="D128" s="442"/>
      <c r="E128" s="442"/>
      <c r="P128" s="16">
        <f t="shared" si="7"/>
        <v>93</v>
      </c>
      <c r="Q128" s="570">
        <f t="shared" si="8"/>
        <v>94</v>
      </c>
      <c r="R128" s="571">
        <f t="shared" si="6"/>
        <v>1</v>
      </c>
      <c r="S128" s="572">
        <f t="shared" si="5"/>
        <v>0</v>
      </c>
    </row>
    <row r="129" spans="2:19" x14ac:dyDescent="0.3">
      <c r="B129" s="442"/>
      <c r="C129" s="442"/>
      <c r="D129" s="442"/>
      <c r="E129" s="442"/>
      <c r="P129" s="16">
        <f t="shared" si="7"/>
        <v>94</v>
      </c>
      <c r="Q129" s="570">
        <f t="shared" si="8"/>
        <v>95</v>
      </c>
      <c r="R129" s="571">
        <f t="shared" si="6"/>
        <v>1</v>
      </c>
      <c r="S129" s="572">
        <f t="shared" si="5"/>
        <v>0</v>
      </c>
    </row>
    <row r="130" spans="2:19" x14ac:dyDescent="0.3">
      <c r="B130" s="442"/>
      <c r="C130" s="442"/>
      <c r="D130" s="442"/>
      <c r="E130" s="442"/>
      <c r="P130" s="16">
        <f t="shared" si="7"/>
        <v>95</v>
      </c>
      <c r="Q130" s="570">
        <f t="shared" si="8"/>
        <v>96</v>
      </c>
      <c r="R130" s="571">
        <f t="shared" si="6"/>
        <v>1</v>
      </c>
      <c r="S130" s="572">
        <f t="shared" si="5"/>
        <v>0</v>
      </c>
    </row>
    <row r="131" spans="2:19" x14ac:dyDescent="0.3">
      <c r="B131" s="442"/>
      <c r="C131" s="442"/>
      <c r="D131" s="442"/>
      <c r="E131" s="442"/>
      <c r="P131" s="16">
        <f t="shared" si="7"/>
        <v>96</v>
      </c>
      <c r="Q131" s="570">
        <f t="shared" si="8"/>
        <v>97</v>
      </c>
      <c r="R131" s="571">
        <f t="shared" si="6"/>
        <v>1</v>
      </c>
      <c r="S131" s="572">
        <f t="shared" ref="S131:S133" si="9">$C$17*R131</f>
        <v>0</v>
      </c>
    </row>
    <row r="132" spans="2:19" x14ac:dyDescent="0.3">
      <c r="B132" s="442"/>
      <c r="C132" s="442"/>
      <c r="D132" s="442"/>
      <c r="E132" s="442"/>
      <c r="P132" s="16">
        <f t="shared" si="7"/>
        <v>97</v>
      </c>
      <c r="Q132" s="570">
        <f t="shared" si="8"/>
        <v>98</v>
      </c>
      <c r="R132" s="571">
        <f t="shared" si="6"/>
        <v>1</v>
      </c>
      <c r="S132" s="572">
        <f t="shared" si="9"/>
        <v>0</v>
      </c>
    </row>
    <row r="133" spans="2:19" x14ac:dyDescent="0.3">
      <c r="B133" s="442"/>
      <c r="C133" s="442"/>
      <c r="D133" s="442"/>
      <c r="E133" s="442"/>
      <c r="P133" s="16">
        <f t="shared" si="7"/>
        <v>98</v>
      </c>
      <c r="Q133" s="570">
        <f t="shared" si="8"/>
        <v>99</v>
      </c>
      <c r="R133" s="571">
        <f t="shared" si="6"/>
        <v>1</v>
      </c>
      <c r="S133" s="572">
        <f t="shared" si="9"/>
        <v>0</v>
      </c>
    </row>
    <row r="134" spans="2:19" x14ac:dyDescent="0.3">
      <c r="B134" s="442"/>
      <c r="C134" s="442"/>
      <c r="D134" s="442"/>
      <c r="E134" s="442"/>
      <c r="P134" s="17">
        <f t="shared" si="7"/>
        <v>99</v>
      </c>
      <c r="Q134" s="573">
        <f t="shared" si="8"/>
        <v>100</v>
      </c>
      <c r="R134" s="574">
        <f t="shared" si="6"/>
        <v>1</v>
      </c>
      <c r="S134" s="575">
        <f t="shared" ref="S134" si="10">$C$17*R134</f>
        <v>0</v>
      </c>
    </row>
  </sheetData>
  <sheetProtection algorithmName="SHA-512" hashValue="g3H/ae0ZQBkppmvGCUq1GqBc68CmGRBeEXEh7l972XZlOlVVTT1aot85gYkpjhYqU9hhEF9auoiZSMPRCI7V8A==" saltValue="HICM6PLfEwx7MFx0AYlIPg==" spinCount="100000" sheet="1" objects="1" scenarios="1"/>
  <mergeCells count="1">
    <mergeCell ref="P23:Q23"/>
  </mergeCells>
  <conditionalFormatting sqref="P35:P134">
    <cfRule type="expression" dxfId="13" priority="2">
      <formula>$A35&lt;endyr</formula>
    </cfRule>
  </conditionalFormatting>
  <conditionalFormatting sqref="C19">
    <cfRule type="expression" dxfId="12" priority="1">
      <formula>C6=$B$24</formula>
    </cfRule>
  </conditionalFormatting>
  <conditionalFormatting sqref="C15">
    <cfRule type="expression" dxfId="11" priority="122">
      <formula>$C$6=$B$23</formula>
    </cfRule>
  </conditionalFormatting>
  <conditionalFormatting sqref="C7">
    <cfRule type="expression" dxfId="10" priority="123">
      <formula>(C6=B24)</formula>
    </cfRule>
  </conditionalFormatting>
  <conditionalFormatting sqref="C13">
    <cfRule type="expression" dxfId="9" priority="124">
      <formula>C6=B24</formula>
    </cfRule>
  </conditionalFormatting>
  <conditionalFormatting sqref="C8">
    <cfRule type="expression" dxfId="8" priority="125">
      <formula>C6=B23</formula>
    </cfRule>
  </conditionalFormatting>
  <conditionalFormatting sqref="C11">
    <cfRule type="expression" dxfId="7" priority="126">
      <formula>C6=B24</formula>
    </cfRule>
  </conditionalFormatting>
  <conditionalFormatting sqref="C14">
    <cfRule type="expression" dxfId="6" priority="127">
      <formula>C6=B23</formula>
    </cfRule>
  </conditionalFormatting>
  <conditionalFormatting sqref="C9">
    <cfRule type="expression" dxfId="5" priority="128">
      <formula>OR(C6=B23,C6=B24)</formula>
    </cfRule>
  </conditionalFormatting>
  <conditionalFormatting sqref="C10">
    <cfRule type="expression" dxfId="4" priority="129">
      <formula>OR(C8=B25,C8=B26)</formula>
    </cfRule>
  </conditionalFormatting>
  <conditionalFormatting sqref="C16">
    <cfRule type="expression" dxfId="3" priority="130">
      <formula>C6=B23</formula>
    </cfRule>
  </conditionalFormatting>
  <dataValidations count="5">
    <dataValidation type="list" allowBlank="1" showInputMessage="1" showErrorMessage="1" sqref="C14:C16" xr:uid="{00000000-0002-0000-0400-000000000000}">
      <formula1>$B$42:$B$43</formula1>
    </dataValidation>
    <dataValidation type="list" allowBlank="1" showInputMessage="1" showErrorMessage="1" sqref="C6" xr:uid="{00000000-0002-0000-0400-000001000000}">
      <formula1>$B$23:$B$25</formula1>
    </dataValidation>
    <dataValidation type="list" allowBlank="1" showInputMessage="1" showErrorMessage="1" sqref="C13" xr:uid="{00000000-0002-0000-0400-000002000000}">
      <formula1>"Yes, No, NA"</formula1>
    </dataValidation>
    <dataValidation type="list" allowBlank="1" sqref="C19" xr:uid="{00000000-0002-0000-0400-000003000000}">
      <formula1>"No, Yes"</formula1>
    </dataValidation>
    <dataValidation type="list" allowBlank="1" showInputMessage="1" showErrorMessage="1" sqref="C11" xr:uid="{00000000-0002-0000-0400-000004000000}">
      <formula1>$B$32:$B$35</formula1>
    </dataValidation>
  </dataValidations>
  <pageMargins left="0.7" right="0.7" top="0.75" bottom="0.75" header="0.3" footer="0.3"/>
  <pageSetup orientation="portrait" verticalDpi="52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2:I44"/>
  <sheetViews>
    <sheetView topLeftCell="B1" workbookViewId="0">
      <selection activeCell="C6" sqref="C6:C8"/>
    </sheetView>
  </sheetViews>
  <sheetFormatPr defaultRowHeight="14.4" x14ac:dyDescent="0.3"/>
  <cols>
    <col min="2" max="2" width="38" customWidth="1"/>
    <col min="3" max="3" width="16.33203125" customWidth="1"/>
    <col min="4" max="4" width="37.44140625" customWidth="1"/>
    <col min="7" max="7" width="34.109375" customWidth="1"/>
    <col min="9" max="9" width="28.88671875" customWidth="1"/>
  </cols>
  <sheetData>
    <row r="2" spans="2:9" ht="18" x14ac:dyDescent="0.35">
      <c r="B2" s="1" t="s">
        <v>45</v>
      </c>
    </row>
    <row r="3" spans="2:9" x14ac:dyDescent="0.3">
      <c r="B3" s="25"/>
      <c r="C3" s="317"/>
    </row>
    <row r="5" spans="2:9" ht="18.600000000000001" thickBot="1" x14ac:dyDescent="0.4">
      <c r="B5" s="316" t="s">
        <v>172</v>
      </c>
      <c r="C5" s="315"/>
      <c r="D5" s="107"/>
      <c r="G5" s="294" t="s">
        <v>165</v>
      </c>
      <c r="H5" s="107"/>
      <c r="I5" s="107"/>
    </row>
    <row r="6" spans="2:9" ht="19.8" x14ac:dyDescent="0.5">
      <c r="B6" s="54" t="s">
        <v>83</v>
      </c>
      <c r="C6" s="160"/>
      <c r="D6" s="168">
        <f>incidentyr+projyrs</f>
        <v>0</v>
      </c>
      <c r="G6" s="314" t="s">
        <v>167</v>
      </c>
      <c r="H6" s="46"/>
      <c r="I6" s="46"/>
    </row>
    <row r="7" spans="2:9" ht="19.2" x14ac:dyDescent="0.5">
      <c r="B7" s="55" t="s">
        <v>82</v>
      </c>
      <c r="C7" s="161"/>
      <c r="D7" s="58"/>
      <c r="G7" s="91" t="s">
        <v>52</v>
      </c>
      <c r="H7" s="292"/>
      <c r="I7" s="92"/>
    </row>
    <row r="8" spans="2:9" ht="19.2" x14ac:dyDescent="0.5">
      <c r="B8" s="55" t="s">
        <v>211</v>
      </c>
      <c r="C8" s="161"/>
      <c r="D8" s="59" t="str">
        <f>"years to "&amp; endyr</f>
        <v>years to 0</v>
      </c>
      <c r="G8" s="93" t="s">
        <v>53</v>
      </c>
      <c r="H8" s="600">
        <f>SUM(Services!D8:D59)</f>
        <v>0</v>
      </c>
      <c r="I8" s="94" t="s">
        <v>54</v>
      </c>
    </row>
    <row r="9" spans="2:9" ht="19.2" x14ac:dyDescent="0.5">
      <c r="B9" s="165" t="s">
        <v>97</v>
      </c>
      <c r="C9" s="161" t="s">
        <v>99</v>
      </c>
      <c r="D9" s="59"/>
      <c r="G9" s="93" t="s">
        <v>181</v>
      </c>
      <c r="H9" s="600">
        <f>Services!G60</f>
        <v>0</v>
      </c>
      <c r="I9" s="94" t="s">
        <v>4</v>
      </c>
    </row>
    <row r="10" spans="2:9" ht="19.2" x14ac:dyDescent="0.5">
      <c r="B10" s="165" t="s">
        <v>36</v>
      </c>
      <c r="C10" s="162">
        <f>VLOOKUP(C9,'Parameter Sets'!I14:N16,3,0)</f>
        <v>0.56240093910000011</v>
      </c>
      <c r="D10" s="58" t="s">
        <v>57</v>
      </c>
      <c r="G10" s="103" t="s">
        <v>173</v>
      </c>
      <c r="H10" s="604">
        <f>H8+H9</f>
        <v>0</v>
      </c>
      <c r="I10" s="102"/>
    </row>
    <row r="11" spans="2:9" x14ac:dyDescent="0.3">
      <c r="B11" s="56" t="s">
        <v>38</v>
      </c>
      <c r="C11" s="167">
        <f>C10/2</f>
        <v>0.28120046955000005</v>
      </c>
      <c r="D11" s="60" t="s">
        <v>1</v>
      </c>
    </row>
    <row r="12" spans="2:9" ht="19.2" x14ac:dyDescent="0.5">
      <c r="B12" s="165" t="s">
        <v>37</v>
      </c>
      <c r="C12" s="162">
        <f>VLOOKUP(C9,'Parameter Sets'!I14:N16,2,0)</f>
        <v>0.13030495919999999</v>
      </c>
      <c r="D12" s="58" t="s">
        <v>0</v>
      </c>
    </row>
    <row r="13" spans="2:9" ht="18" x14ac:dyDescent="0.35">
      <c r="B13" s="56" t="s">
        <v>39</v>
      </c>
      <c r="C13" s="167">
        <f>C12/2</f>
        <v>6.5152479599999993E-2</v>
      </c>
      <c r="D13" s="60" t="s">
        <v>1</v>
      </c>
      <c r="G13" s="314" t="s">
        <v>168</v>
      </c>
      <c r="H13" s="46"/>
      <c r="I13" s="46"/>
    </row>
    <row r="14" spans="2:9" x14ac:dyDescent="0.3">
      <c r="B14" s="57"/>
      <c r="C14" s="163"/>
      <c r="D14" s="58"/>
      <c r="G14" s="95" t="s">
        <v>52</v>
      </c>
      <c r="H14" s="96"/>
      <c r="I14" s="97"/>
    </row>
    <row r="15" spans="2:9" ht="19.2" x14ac:dyDescent="0.5">
      <c r="B15" s="165" t="s">
        <v>40</v>
      </c>
      <c r="C15" s="162">
        <f>VLOOKUP(C9,'Parameter Sets'!I14:N16,4,0)</f>
        <v>0.58533280194999993</v>
      </c>
      <c r="D15" s="58" t="s">
        <v>5</v>
      </c>
      <c r="G15" s="98" t="s">
        <v>56</v>
      </c>
      <c r="H15" s="601">
        <f>SUM(Services!L60)</f>
        <v>0</v>
      </c>
      <c r="I15" s="99" t="s">
        <v>54</v>
      </c>
    </row>
    <row r="16" spans="2:9" ht="19.2" x14ac:dyDescent="0.5">
      <c r="B16" s="165" t="s">
        <v>62</v>
      </c>
      <c r="C16" s="162">
        <f>VLOOKUP(C9,'Parameter Sets'!I14:N16,5,0)</f>
        <v>0.67430391939727508</v>
      </c>
      <c r="D16" s="58" t="s">
        <v>5</v>
      </c>
      <c r="G16" s="100" t="s">
        <v>58</v>
      </c>
      <c r="H16" s="601">
        <f>Services!$I$60</f>
        <v>0</v>
      </c>
      <c r="I16" s="99" t="s">
        <v>54</v>
      </c>
    </row>
    <row r="17" spans="1:9" ht="19.8" thickBot="1" x14ac:dyDescent="0.55000000000000004">
      <c r="B17" s="166" t="s">
        <v>34</v>
      </c>
      <c r="C17" s="164">
        <f>VLOOKUP(C9,'Parameter Sets'!I14:N16,6,0)</f>
        <v>0.85697347993175599</v>
      </c>
      <c r="D17" s="61" t="s">
        <v>5</v>
      </c>
      <c r="G17" s="100" t="s">
        <v>59</v>
      </c>
      <c r="H17" s="601">
        <f>Services!$J$60</f>
        <v>0</v>
      </c>
      <c r="I17" s="99" t="s">
        <v>54</v>
      </c>
    </row>
    <row r="18" spans="1:9" x14ac:dyDescent="0.3">
      <c r="G18" s="100" t="s">
        <v>60</v>
      </c>
      <c r="H18" s="601">
        <f>Services!$K$60</f>
        <v>0</v>
      </c>
      <c r="I18" s="99" t="s">
        <v>54</v>
      </c>
    </row>
    <row r="19" spans="1:9" ht="18" x14ac:dyDescent="0.35">
      <c r="B19" s="1"/>
      <c r="G19" s="101" t="s">
        <v>182</v>
      </c>
      <c r="H19" s="601">
        <f>Services!O60</f>
        <v>0</v>
      </c>
      <c r="I19" s="99" t="s">
        <v>4</v>
      </c>
    </row>
    <row r="20" spans="1:9" x14ac:dyDescent="0.3">
      <c r="B20" s="298"/>
      <c r="C20" s="295"/>
      <c r="D20" s="12"/>
      <c r="E20" s="12"/>
      <c r="G20" s="104" t="s">
        <v>61</v>
      </c>
      <c r="H20" s="605">
        <f>ROUND(H15+H19,0)</f>
        <v>0</v>
      </c>
      <c r="I20" s="105" t="s">
        <v>55</v>
      </c>
    </row>
    <row r="21" spans="1:9" x14ac:dyDescent="0.3">
      <c r="B21" s="299"/>
      <c r="C21" s="295"/>
      <c r="E21" s="12"/>
    </row>
    <row r="22" spans="1:9" x14ac:dyDescent="0.3">
      <c r="B22" s="299"/>
      <c r="C22" s="295"/>
      <c r="D22" s="12"/>
      <c r="E22" s="12"/>
    </row>
    <row r="23" spans="1:9" ht="18" x14ac:dyDescent="0.35">
      <c r="B23" s="300"/>
      <c r="C23" s="301"/>
      <c r="D23" s="302"/>
      <c r="E23" s="12"/>
      <c r="G23" s="62" t="s">
        <v>180</v>
      </c>
      <c r="H23" s="67"/>
      <c r="I23" s="66"/>
    </row>
    <row r="24" spans="1:9" x14ac:dyDescent="0.3">
      <c r="B24" s="65"/>
      <c r="C24" s="68"/>
      <c r="D24" s="68"/>
      <c r="E24" s="12"/>
      <c r="G24" s="71"/>
      <c r="H24" s="72"/>
      <c r="I24" s="73"/>
    </row>
    <row r="25" spans="1:9" ht="15.6" x14ac:dyDescent="0.3">
      <c r="B25" s="66"/>
      <c r="C25" s="69"/>
      <c r="D25" s="68"/>
      <c r="E25" s="12"/>
      <c r="G25" s="74" t="s">
        <v>174</v>
      </c>
      <c r="H25" s="602">
        <f>H20-H10</f>
        <v>0</v>
      </c>
      <c r="I25" s="76"/>
    </row>
    <row r="26" spans="1:9" ht="15.6" x14ac:dyDescent="0.3">
      <c r="B26" s="66"/>
      <c r="C26" s="69"/>
      <c r="D26" s="68"/>
      <c r="E26" s="12"/>
      <c r="G26" s="318" t="s">
        <v>166</v>
      </c>
      <c r="H26" s="603">
        <f>'Mit-SumHabPrt'!F7+'Mit-SumHabRst'!D7</f>
        <v>0</v>
      </c>
      <c r="I26" s="77" t="s">
        <v>154</v>
      </c>
    </row>
    <row r="27" spans="1:9" x14ac:dyDescent="0.3">
      <c r="B27" s="66"/>
      <c r="C27" s="70"/>
      <c r="D27" s="68"/>
      <c r="E27" s="12"/>
      <c r="G27" s="78"/>
      <c r="H27" s="79"/>
      <c r="I27" s="75"/>
    </row>
    <row r="28" spans="1:9" ht="18" x14ac:dyDescent="0.35">
      <c r="B28" s="303"/>
      <c r="C28" s="12"/>
      <c r="D28" s="12"/>
      <c r="E28" s="12"/>
    </row>
    <row r="29" spans="1:9" x14ac:dyDescent="0.3">
      <c r="B29" s="302"/>
      <c r="C29" s="12"/>
      <c r="D29" s="12"/>
      <c r="E29" s="12"/>
    </row>
    <row r="30" spans="1:9" x14ac:dyDescent="0.3">
      <c r="B30" s="304"/>
      <c r="C30" s="295"/>
      <c r="D30" s="12"/>
      <c r="E30" s="12"/>
    </row>
    <row r="31" spans="1:9" x14ac:dyDescent="0.3">
      <c r="A31" s="44"/>
      <c r="B31" s="305"/>
      <c r="C31" s="295"/>
      <c r="D31" s="12"/>
      <c r="E31" s="12"/>
    </row>
    <row r="32" spans="1:9" x14ac:dyDescent="0.3">
      <c r="B32" s="305"/>
      <c r="C32" s="295"/>
      <c r="D32" s="12"/>
      <c r="E32" s="12"/>
    </row>
    <row r="33" spans="2:5" x14ac:dyDescent="0.3">
      <c r="B33" s="305"/>
      <c r="C33" s="295"/>
      <c r="D33" s="12"/>
      <c r="E33" s="12"/>
    </row>
    <row r="34" spans="2:5" x14ac:dyDescent="0.3">
      <c r="B34" s="299"/>
      <c r="C34" s="295"/>
      <c r="D34" s="12"/>
      <c r="E34" s="12"/>
    </row>
    <row r="35" spans="2:5" x14ac:dyDescent="0.3">
      <c r="B35" s="300"/>
      <c r="C35" s="306"/>
      <c r="D35" s="307"/>
      <c r="E35" s="12"/>
    </row>
    <row r="36" spans="2:5" x14ac:dyDescent="0.3">
      <c r="B36" s="65"/>
      <c r="C36" s="12"/>
      <c r="D36" s="12"/>
      <c r="E36" s="12"/>
    </row>
    <row r="37" spans="2:5" x14ac:dyDescent="0.3">
      <c r="B37" s="66"/>
      <c r="C37" s="67"/>
      <c r="D37" s="66"/>
      <c r="E37" s="12"/>
    </row>
    <row r="38" spans="2:5" x14ac:dyDescent="0.3">
      <c r="B38" s="66"/>
      <c r="C38" s="67"/>
      <c r="D38" s="66"/>
      <c r="E38" s="12"/>
    </row>
    <row r="39" spans="2:5" x14ac:dyDescent="0.3">
      <c r="B39" s="66"/>
      <c r="C39" s="67"/>
      <c r="D39" s="66"/>
      <c r="E39" s="12"/>
    </row>
    <row r="40" spans="2:5" ht="18" x14ac:dyDescent="0.35">
      <c r="B40" s="62"/>
      <c r="C40" s="67"/>
      <c r="D40" s="66"/>
      <c r="E40" s="12"/>
    </row>
    <row r="41" spans="2:5" x14ac:dyDescent="0.3">
      <c r="B41" s="12"/>
      <c r="C41" s="12"/>
      <c r="D41" s="12"/>
      <c r="E41" s="12"/>
    </row>
    <row r="42" spans="2:5" ht="15.6" x14ac:dyDescent="0.3">
      <c r="B42" s="308"/>
      <c r="C42" s="296"/>
      <c r="D42" s="309"/>
      <c r="E42" s="12"/>
    </row>
    <row r="43" spans="2:5" ht="15.6" x14ac:dyDescent="0.3">
      <c r="B43" s="310"/>
      <c r="C43" s="297"/>
      <c r="D43" s="273"/>
      <c r="E43" s="12"/>
    </row>
    <row r="44" spans="2:5" x14ac:dyDescent="0.3">
      <c r="B44" s="12"/>
      <c r="C44" s="12"/>
      <c r="D44" s="12"/>
      <c r="E44" s="12"/>
    </row>
  </sheetData>
  <protectedRanges>
    <protectedRange sqref="C6:C9" name="ImpactsInputs"/>
  </protectedRanges>
  <conditionalFormatting sqref="C42">
    <cfRule type="expression" dxfId="2" priority="4">
      <formula>$C$42&lt;0</formula>
    </cfRule>
  </conditionalFormatting>
  <conditionalFormatting sqref="H25">
    <cfRule type="expression" dxfId="1" priority="2">
      <formula>$H$25&lt;0</formula>
    </cfRule>
  </conditionalFormatting>
  <conditionalFormatting sqref="H26">
    <cfRule type="expression" dxfId="0" priority="1">
      <formula>$H26&lt;42</formula>
    </cfRule>
  </conditionalFormatting>
  <dataValidations count="2">
    <dataValidation allowBlank="1" showInputMessage="1" showErrorMessage="1" prompt="This value is from a consistent set on the Parameter Sets page. _x000a__x000a_You may change it but you will be responsible for ensuring consistency of the life history parameters." sqref="C12 C15:C17" xr:uid="{00000000-0002-0000-0500-000000000000}"/>
    <dataValidation errorStyle="warning" allowBlank="1" showInputMessage="1" showErrorMessage="1" errorTitle="Are you sure?" error="Demographic consistency is up to you!" promptTitle="Consistency Check" prompt="This value is from a consistent set on the Parameter Sets page. _x000a__x000a_You may change it but you will be responsible for ensuring consistency of the life history parameters." sqref="C10" xr:uid="{00000000-0002-0000-0500-000001000000}"/>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'Parameter Sets'!$I$14:$I$16</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0" tint="-0.14999847407452621"/>
  </sheetPr>
  <dimension ref="A1:R64"/>
  <sheetViews>
    <sheetView zoomScaleNormal="100" workbookViewId="0">
      <selection activeCell="J2" sqref="J2"/>
    </sheetView>
  </sheetViews>
  <sheetFormatPr defaultRowHeight="14.4" x14ac:dyDescent="0.3"/>
  <cols>
    <col min="2" max="2" width="19.5546875" style="25" customWidth="1"/>
    <col min="5" max="5" width="11.6640625" style="24" customWidth="1"/>
    <col min="6" max="6" width="11.6640625" customWidth="1"/>
    <col min="7" max="7" width="13.6640625" customWidth="1"/>
    <col min="8" max="8" width="5.6640625" style="108" customWidth="1"/>
    <col min="9" max="9" width="13.6640625" style="108" customWidth="1"/>
    <col min="10" max="10" width="14.88671875" style="22" customWidth="1"/>
    <col min="11" max="11" width="12" customWidth="1"/>
    <col min="12" max="12" width="10.6640625" customWidth="1"/>
    <col min="13" max="13" width="11.6640625" style="106" customWidth="1"/>
    <col min="14" max="14" width="9.6640625" style="106" customWidth="1"/>
    <col min="15" max="15" width="11" style="106" customWidth="1"/>
    <col min="16" max="16" width="14.44140625" customWidth="1"/>
    <col min="17" max="17" width="14.109375" customWidth="1"/>
    <col min="18" max="18" width="32.88671875" customWidth="1"/>
  </cols>
  <sheetData>
    <row r="1" spans="1:18" s="368" customFormat="1" x14ac:dyDescent="0.3">
      <c r="B1" s="25"/>
      <c r="E1" s="24"/>
      <c r="H1" s="108"/>
      <c r="I1" s="108"/>
      <c r="J1" s="22"/>
      <c r="M1" s="106"/>
      <c r="N1" s="106"/>
      <c r="O1" s="106"/>
      <c r="R1" s="146"/>
    </row>
    <row r="2" spans="1:18" ht="18" x14ac:dyDescent="0.35">
      <c r="A2" s="311"/>
      <c r="B2" s="312" t="s">
        <v>198</v>
      </c>
      <c r="R2" s="148"/>
    </row>
    <row r="3" spans="1:18" x14ac:dyDescent="0.3">
      <c r="E3"/>
      <c r="R3" s="148"/>
    </row>
    <row r="4" spans="1:18" x14ac:dyDescent="0.3">
      <c r="R4" s="148"/>
    </row>
    <row r="5" spans="1:18" ht="15" thickBot="1" x14ac:dyDescent="0.35">
      <c r="D5" s="265"/>
      <c r="E5" s="265" t="s">
        <v>63</v>
      </c>
      <c r="F5" s="265"/>
      <c r="G5" s="265"/>
      <c r="H5" s="271"/>
      <c r="I5" s="271"/>
      <c r="J5" s="271"/>
      <c r="K5" s="80"/>
      <c r="L5" s="81"/>
      <c r="M5" s="584" t="s">
        <v>89</v>
      </c>
      <c r="N5" s="584"/>
      <c r="O5" s="584"/>
      <c r="P5" s="44"/>
      <c r="R5" s="148"/>
    </row>
    <row r="6" spans="1:18" ht="26.25" customHeight="1" x14ac:dyDescent="0.3">
      <c r="C6" s="4"/>
      <c r="D6" s="628" t="s">
        <v>170</v>
      </c>
      <c r="E6" s="628"/>
      <c r="F6" s="628"/>
      <c r="G6" s="629"/>
      <c r="H6" s="272"/>
      <c r="I6" s="625" t="s">
        <v>233</v>
      </c>
      <c r="J6" s="626"/>
      <c r="K6" s="627"/>
      <c r="L6" s="622" t="s">
        <v>171</v>
      </c>
      <c r="M6" s="623"/>
      <c r="N6" s="623"/>
      <c r="O6" s="624"/>
      <c r="P6" s="269"/>
      <c r="Q6" s="269"/>
      <c r="R6" s="148"/>
    </row>
    <row r="7" spans="1:18" ht="57.6" x14ac:dyDescent="0.3">
      <c r="B7" s="25" t="s">
        <v>44</v>
      </c>
      <c r="C7" s="5"/>
      <c r="D7" s="87" t="s">
        <v>41</v>
      </c>
      <c r="E7" s="85" t="s">
        <v>139</v>
      </c>
      <c r="F7" s="85" t="s">
        <v>140</v>
      </c>
      <c r="G7" s="282" t="s">
        <v>3</v>
      </c>
      <c r="H7" s="274"/>
      <c r="I7" s="279" t="s">
        <v>86</v>
      </c>
      <c r="J7" s="280" t="s">
        <v>164</v>
      </c>
      <c r="K7" s="281" t="s">
        <v>87</v>
      </c>
      <c r="L7" s="84" t="s">
        <v>6</v>
      </c>
      <c r="M7" s="82" t="s">
        <v>141</v>
      </c>
      <c r="N7" s="83" t="s">
        <v>142</v>
      </c>
      <c r="O7" s="83" t="s">
        <v>7</v>
      </c>
    </row>
    <row r="8" spans="1:18" x14ac:dyDescent="0.3">
      <c r="B8" s="25">
        <v>1</v>
      </c>
      <c r="C8" s="14">
        <f>incidentyr</f>
        <v>0</v>
      </c>
      <c r="D8" s="88">
        <f t="shared" ref="D8:D39" si="0">IF(C8&gt;=endyr,0,injpop)</f>
        <v>0</v>
      </c>
      <c r="E8" s="86">
        <f>D8*firstgen</f>
        <v>0</v>
      </c>
      <c r="F8" s="86">
        <f>D8*secondgen</f>
        <v>0</v>
      </c>
      <c r="G8" s="283">
        <f>F8+E8</f>
        <v>0</v>
      </c>
      <c r="H8" s="275"/>
      <c r="I8" s="284">
        <f>fbreedrate*IF(AND(C8&gt;='Mit-SumHabPrt'!$C$4, C8&lt;'Mit-SumHabPrt'!$C$5),'Mit-SumHabPrt'!$C$16,0)</f>
        <v>0</v>
      </c>
      <c r="J8" s="285">
        <f>IF(AND(C8&gt;='Mit-WinHabPrt'!$C$4,C8&lt;'Mit-WinHabPrt'!$C$5),'Mit-WinHabPrt'!$C$20/('Mit-WinHabPrt'!$C$5-'Mit-WinHabPrt'!$C$4),0)</f>
        <v>0</v>
      </c>
      <c r="K8" s="286">
        <f>fbreedrate*IF(AND(C8&gt;='Mit-SumHabRst'!$C$4,C8&lt;'Mit-SumHabRst'!$C$5),VLOOKUP(C8,'Mit-SumHabRst'!$P$35:$S$134,4),0)</f>
        <v>0</v>
      </c>
      <c r="L8" s="278">
        <f t="shared" ref="L8:L39" si="1">SUM(I8,J8,K8)</f>
        <v>0</v>
      </c>
      <c r="M8" s="585">
        <f t="shared" ref="M8:M39" si="2">L8*firstgenfull</f>
        <v>0</v>
      </c>
      <c r="N8" s="586">
        <f t="shared" ref="N8:N39" si="3">L8*secondgenfull</f>
        <v>0</v>
      </c>
      <c r="O8" s="587">
        <f>N8+M8</f>
        <v>0</v>
      </c>
    </row>
    <row r="9" spans="1:18" x14ac:dyDescent="0.3">
      <c r="B9" s="25">
        <v>2</v>
      </c>
      <c r="C9" s="14">
        <f>C8+1</f>
        <v>1</v>
      </c>
      <c r="D9" s="88">
        <f t="shared" si="0"/>
        <v>0</v>
      </c>
      <c r="E9" s="86">
        <f t="shared" ref="E9:E39" si="4">D9*firstgen</f>
        <v>0</v>
      </c>
      <c r="F9" s="86">
        <f t="shared" ref="F9:F39" si="5">D9*secondgen</f>
        <v>0</v>
      </c>
      <c r="G9" s="283">
        <f t="shared" ref="G9:G59" si="6">F9+E9</f>
        <v>0</v>
      </c>
      <c r="H9" s="275"/>
      <c r="I9" s="284">
        <f>fbreedrate*IF(AND(C9&gt;='Mit-SumHabPrt'!$C$4, C9&lt;'Mit-SumHabPrt'!$C$5),'Mit-SumHabPrt'!$C$16,0)</f>
        <v>0</v>
      </c>
      <c r="J9" s="285">
        <f>IF(AND(C9&gt;='Mit-WinHabPrt'!$C$4,C9&lt;'Mit-WinHabPrt'!$C$5),'Mit-WinHabPrt'!$C$20/('Mit-WinHabPrt'!$C$5-'Mit-WinHabPrt'!$C$4),0)</f>
        <v>0</v>
      </c>
      <c r="K9" s="286">
        <f>fbreedrate*IF(AND(C9&gt;='Mit-SumHabRst'!$C$4,C9&lt;'Mit-SumHabRst'!$C$5),VLOOKUP(C9,'Mit-SumHabRst'!$P$35:$S$134,4),0)</f>
        <v>0</v>
      </c>
      <c r="L9" s="278">
        <f t="shared" si="1"/>
        <v>0</v>
      </c>
      <c r="M9" s="588">
        <f t="shared" si="2"/>
        <v>0</v>
      </c>
      <c r="N9" s="586">
        <f t="shared" si="3"/>
        <v>0</v>
      </c>
      <c r="O9" s="589">
        <f t="shared" ref="O9:O59" si="7">N9+M9</f>
        <v>0</v>
      </c>
    </row>
    <row r="10" spans="1:18" x14ac:dyDescent="0.3">
      <c r="B10" s="25">
        <v>3</v>
      </c>
      <c r="C10" s="14">
        <f t="shared" ref="C10:C32" si="8">C9+1</f>
        <v>2</v>
      </c>
      <c r="D10" s="88">
        <f t="shared" si="0"/>
        <v>0</v>
      </c>
      <c r="E10" s="86">
        <f t="shared" si="4"/>
        <v>0</v>
      </c>
      <c r="F10" s="86">
        <f t="shared" si="5"/>
        <v>0</v>
      </c>
      <c r="G10" s="283">
        <f t="shared" si="6"/>
        <v>0</v>
      </c>
      <c r="H10" s="275"/>
      <c r="I10" s="284">
        <f>fbreedrate*IF(AND(C10&gt;='Mit-SumHabPrt'!$C$4, C10&lt;'Mit-SumHabPrt'!$C$5),'Mit-SumHabPrt'!$C$16,0)</f>
        <v>0</v>
      </c>
      <c r="J10" s="285">
        <f>IF(AND(C10&gt;='Mit-WinHabPrt'!$C$4,C10&lt;'Mit-WinHabPrt'!$C$5),'Mit-WinHabPrt'!$C$20/('Mit-WinHabPrt'!$C$5-'Mit-WinHabPrt'!$C$4),0)</f>
        <v>0</v>
      </c>
      <c r="K10" s="286">
        <f>fbreedrate*IF(AND(C10&gt;='Mit-SumHabRst'!$C$4,C10&lt;'Mit-SumHabRst'!$C$5),VLOOKUP(C10,'Mit-SumHabRst'!$P$35:$S$134,4),0)</f>
        <v>0</v>
      </c>
      <c r="L10" s="278">
        <f t="shared" si="1"/>
        <v>0</v>
      </c>
      <c r="M10" s="588">
        <f t="shared" si="2"/>
        <v>0</v>
      </c>
      <c r="N10" s="586">
        <f t="shared" si="3"/>
        <v>0</v>
      </c>
      <c r="O10" s="589">
        <f t="shared" si="7"/>
        <v>0</v>
      </c>
    </row>
    <row r="11" spans="1:18" x14ac:dyDescent="0.3">
      <c r="B11" s="25">
        <v>4</v>
      </c>
      <c r="C11" s="14">
        <f t="shared" si="8"/>
        <v>3</v>
      </c>
      <c r="D11" s="88">
        <f t="shared" si="0"/>
        <v>0</v>
      </c>
      <c r="E11" s="86">
        <f t="shared" si="4"/>
        <v>0</v>
      </c>
      <c r="F11" s="86">
        <f t="shared" si="5"/>
        <v>0</v>
      </c>
      <c r="G11" s="283">
        <f t="shared" si="6"/>
        <v>0</v>
      </c>
      <c r="H11" s="275"/>
      <c r="I11" s="284">
        <f>fbreedrate*IF(AND(C11&gt;='Mit-SumHabPrt'!$C$4, C11&lt;'Mit-SumHabPrt'!$C$5),'Mit-SumHabPrt'!$C$16,0)</f>
        <v>0</v>
      </c>
      <c r="J11" s="285">
        <f>IF(AND(C11&gt;='Mit-WinHabPrt'!$C$4,C11&lt;'Mit-WinHabPrt'!$C$5),'Mit-WinHabPrt'!$C$20/('Mit-WinHabPrt'!$C$5-'Mit-WinHabPrt'!$C$4),0)</f>
        <v>0</v>
      </c>
      <c r="K11" s="286">
        <f>fbreedrate*IF(AND(C11&gt;='Mit-SumHabRst'!$C$4,C11&lt;'Mit-SumHabRst'!$C$5),VLOOKUP(C11,'Mit-SumHabRst'!$P$35:$S$134,4),0)</f>
        <v>0</v>
      </c>
      <c r="L11" s="278">
        <f t="shared" si="1"/>
        <v>0</v>
      </c>
      <c r="M11" s="588">
        <f t="shared" si="2"/>
        <v>0</v>
      </c>
      <c r="N11" s="586">
        <f t="shared" si="3"/>
        <v>0</v>
      </c>
      <c r="O11" s="589">
        <f t="shared" si="7"/>
        <v>0</v>
      </c>
    </row>
    <row r="12" spans="1:18" x14ac:dyDescent="0.3">
      <c r="B12" s="25">
        <v>5</v>
      </c>
      <c r="C12" s="14">
        <f t="shared" si="8"/>
        <v>4</v>
      </c>
      <c r="D12" s="88">
        <f t="shared" si="0"/>
        <v>0</v>
      </c>
      <c r="E12" s="86">
        <f t="shared" si="4"/>
        <v>0</v>
      </c>
      <c r="F12" s="86">
        <f t="shared" si="5"/>
        <v>0</v>
      </c>
      <c r="G12" s="283">
        <f t="shared" si="6"/>
        <v>0</v>
      </c>
      <c r="H12" s="275"/>
      <c r="I12" s="284">
        <f>fbreedrate*IF(AND(C12&gt;='Mit-SumHabPrt'!$C$4, C12&lt;'Mit-SumHabPrt'!$C$5),'Mit-SumHabPrt'!$C$16,0)</f>
        <v>0</v>
      </c>
      <c r="J12" s="285">
        <f>IF(AND(C12&gt;='Mit-WinHabPrt'!$C$4,C12&lt;'Mit-WinHabPrt'!$C$5),'Mit-WinHabPrt'!$C$20/('Mit-WinHabPrt'!$C$5-'Mit-WinHabPrt'!$C$4),0)</f>
        <v>0</v>
      </c>
      <c r="K12" s="286">
        <f>fbreedrate*IF(AND(C12&gt;='Mit-SumHabRst'!$C$4,C12&lt;'Mit-SumHabRst'!$C$5),VLOOKUP(C12,'Mit-SumHabRst'!$P$35:$S$134,4),0)</f>
        <v>0</v>
      </c>
      <c r="L12" s="278">
        <f t="shared" si="1"/>
        <v>0</v>
      </c>
      <c r="M12" s="588">
        <f t="shared" si="2"/>
        <v>0</v>
      </c>
      <c r="N12" s="586">
        <f t="shared" si="3"/>
        <v>0</v>
      </c>
      <c r="O12" s="589">
        <f t="shared" si="7"/>
        <v>0</v>
      </c>
    </row>
    <row r="13" spans="1:18" x14ac:dyDescent="0.3">
      <c r="B13" s="25">
        <v>6</v>
      </c>
      <c r="C13" s="14">
        <f t="shared" si="8"/>
        <v>5</v>
      </c>
      <c r="D13" s="88">
        <f t="shared" si="0"/>
        <v>0</v>
      </c>
      <c r="E13" s="86">
        <f t="shared" si="4"/>
        <v>0</v>
      </c>
      <c r="F13" s="86">
        <f t="shared" si="5"/>
        <v>0</v>
      </c>
      <c r="G13" s="283">
        <f t="shared" si="6"/>
        <v>0</v>
      </c>
      <c r="H13" s="275"/>
      <c r="I13" s="284">
        <f>fbreedrate*IF(AND(C13&gt;='Mit-SumHabPrt'!$C$4, C13&lt;'Mit-SumHabPrt'!$C$5),'Mit-SumHabPrt'!$C$16,0)</f>
        <v>0</v>
      </c>
      <c r="J13" s="285">
        <f>IF(AND(C13&gt;='Mit-WinHabPrt'!$C$4,C13&lt;'Mit-WinHabPrt'!$C$5),'Mit-WinHabPrt'!$C$20/('Mit-WinHabPrt'!$C$5-'Mit-WinHabPrt'!$C$4),0)</f>
        <v>0</v>
      </c>
      <c r="K13" s="286">
        <f>fbreedrate*IF(AND(C13&gt;='Mit-SumHabRst'!$C$4,C13&lt;'Mit-SumHabRst'!$C$5),VLOOKUP(C13,'Mit-SumHabRst'!$P$35:$S$134,4),0)</f>
        <v>0</v>
      </c>
      <c r="L13" s="278">
        <f t="shared" si="1"/>
        <v>0</v>
      </c>
      <c r="M13" s="588">
        <f t="shared" si="2"/>
        <v>0</v>
      </c>
      <c r="N13" s="586">
        <f t="shared" si="3"/>
        <v>0</v>
      </c>
      <c r="O13" s="589">
        <f t="shared" si="7"/>
        <v>0</v>
      </c>
    </row>
    <row r="14" spans="1:18" x14ac:dyDescent="0.3">
      <c r="B14" s="25">
        <v>7</v>
      </c>
      <c r="C14" s="14">
        <f t="shared" si="8"/>
        <v>6</v>
      </c>
      <c r="D14" s="88">
        <f t="shared" si="0"/>
        <v>0</v>
      </c>
      <c r="E14" s="86">
        <f t="shared" si="4"/>
        <v>0</v>
      </c>
      <c r="F14" s="86">
        <f t="shared" si="5"/>
        <v>0</v>
      </c>
      <c r="G14" s="283">
        <f t="shared" si="6"/>
        <v>0</v>
      </c>
      <c r="H14" s="275"/>
      <c r="I14" s="284">
        <f>fbreedrate*IF(AND(C14&gt;='Mit-SumHabPrt'!$C$4, C14&lt;'Mit-SumHabPrt'!$C$5),'Mit-SumHabPrt'!$C$16,0)</f>
        <v>0</v>
      </c>
      <c r="J14" s="285">
        <f>IF(AND(C14&gt;='Mit-WinHabPrt'!$C$4,C14&lt;'Mit-WinHabPrt'!$C$5),'Mit-WinHabPrt'!$C$20/('Mit-WinHabPrt'!$C$5-'Mit-WinHabPrt'!$C$4),0)</f>
        <v>0</v>
      </c>
      <c r="K14" s="286">
        <f>fbreedrate*IF(AND(C14&gt;='Mit-SumHabRst'!$C$4,C14&lt;'Mit-SumHabRst'!$C$5),VLOOKUP(C14,'Mit-SumHabRst'!$P$35:$S$134,4),0)</f>
        <v>0</v>
      </c>
      <c r="L14" s="278">
        <f t="shared" si="1"/>
        <v>0</v>
      </c>
      <c r="M14" s="588">
        <f t="shared" si="2"/>
        <v>0</v>
      </c>
      <c r="N14" s="586">
        <f t="shared" si="3"/>
        <v>0</v>
      </c>
      <c r="O14" s="589">
        <f t="shared" si="7"/>
        <v>0</v>
      </c>
    </row>
    <row r="15" spans="1:18" x14ac:dyDescent="0.3">
      <c r="B15" s="25">
        <v>8</v>
      </c>
      <c r="C15" s="14">
        <f t="shared" si="8"/>
        <v>7</v>
      </c>
      <c r="D15" s="88">
        <f t="shared" si="0"/>
        <v>0</v>
      </c>
      <c r="E15" s="86">
        <f t="shared" si="4"/>
        <v>0</v>
      </c>
      <c r="F15" s="86">
        <f t="shared" si="5"/>
        <v>0</v>
      </c>
      <c r="G15" s="283">
        <f t="shared" si="6"/>
        <v>0</v>
      </c>
      <c r="H15" s="275"/>
      <c r="I15" s="284">
        <f>fbreedrate*IF(AND(C15&gt;='Mit-SumHabPrt'!$C$4, C15&lt;'Mit-SumHabPrt'!$C$5),'Mit-SumHabPrt'!$C$16,0)</f>
        <v>0</v>
      </c>
      <c r="J15" s="285">
        <f>IF(AND(C15&gt;='Mit-WinHabPrt'!$C$4,C15&lt;'Mit-WinHabPrt'!$C$5),'Mit-WinHabPrt'!$C$20/('Mit-WinHabPrt'!$C$5-'Mit-WinHabPrt'!$C$4),0)</f>
        <v>0</v>
      </c>
      <c r="K15" s="286">
        <f>fbreedrate*IF(AND(C15&gt;='Mit-SumHabRst'!$C$4,C15&lt;'Mit-SumHabRst'!$C$5),VLOOKUP(C15,'Mit-SumHabRst'!$P$35:$S$134,4),0)</f>
        <v>0</v>
      </c>
      <c r="L15" s="278">
        <f t="shared" si="1"/>
        <v>0</v>
      </c>
      <c r="M15" s="588">
        <f t="shared" si="2"/>
        <v>0</v>
      </c>
      <c r="N15" s="586">
        <f t="shared" si="3"/>
        <v>0</v>
      </c>
      <c r="O15" s="589">
        <f t="shared" si="7"/>
        <v>0</v>
      </c>
    </row>
    <row r="16" spans="1:18" x14ac:dyDescent="0.3">
      <c r="B16" s="25">
        <v>9</v>
      </c>
      <c r="C16" s="14">
        <f t="shared" si="8"/>
        <v>8</v>
      </c>
      <c r="D16" s="88">
        <f t="shared" si="0"/>
        <v>0</v>
      </c>
      <c r="E16" s="86">
        <f t="shared" si="4"/>
        <v>0</v>
      </c>
      <c r="F16" s="86">
        <f t="shared" si="5"/>
        <v>0</v>
      </c>
      <c r="G16" s="283">
        <f t="shared" si="6"/>
        <v>0</v>
      </c>
      <c r="H16" s="275"/>
      <c r="I16" s="284">
        <f>fbreedrate*IF(AND(C16&gt;='Mit-SumHabPrt'!$C$4, C16&lt;'Mit-SumHabPrt'!$C$5),'Mit-SumHabPrt'!$C$16,0)</f>
        <v>0</v>
      </c>
      <c r="J16" s="285">
        <f>IF(AND(C16&gt;='Mit-WinHabPrt'!$C$4,C16&lt;'Mit-WinHabPrt'!$C$5),'Mit-WinHabPrt'!$C$20/('Mit-WinHabPrt'!$C$5-'Mit-WinHabPrt'!$C$4),0)</f>
        <v>0</v>
      </c>
      <c r="K16" s="286">
        <f>fbreedrate*IF(AND(C16&gt;='Mit-SumHabRst'!$C$4,C16&lt;'Mit-SumHabRst'!$C$5),VLOOKUP(C16,'Mit-SumHabRst'!$P$35:$S$134,4),0)</f>
        <v>0</v>
      </c>
      <c r="L16" s="278">
        <f t="shared" si="1"/>
        <v>0</v>
      </c>
      <c r="M16" s="588">
        <f t="shared" si="2"/>
        <v>0</v>
      </c>
      <c r="N16" s="586">
        <f t="shared" si="3"/>
        <v>0</v>
      </c>
      <c r="O16" s="589">
        <f t="shared" si="7"/>
        <v>0</v>
      </c>
    </row>
    <row r="17" spans="2:17" ht="18" customHeight="1" x14ac:dyDescent="0.3">
      <c r="B17" s="25">
        <v>10</v>
      </c>
      <c r="C17" s="14">
        <f t="shared" si="8"/>
        <v>9</v>
      </c>
      <c r="D17" s="88">
        <f t="shared" si="0"/>
        <v>0</v>
      </c>
      <c r="E17" s="86">
        <f t="shared" si="4"/>
        <v>0</v>
      </c>
      <c r="F17" s="86">
        <f t="shared" si="5"/>
        <v>0</v>
      </c>
      <c r="G17" s="283">
        <f t="shared" si="6"/>
        <v>0</v>
      </c>
      <c r="H17" s="275"/>
      <c r="I17" s="284">
        <f>fbreedrate*IF(AND(C17&gt;='Mit-SumHabPrt'!$C$4, C17&lt;'Mit-SumHabPrt'!$C$5),'Mit-SumHabPrt'!$C$16,0)</f>
        <v>0</v>
      </c>
      <c r="J17" s="285">
        <f>IF(AND(C17&gt;='Mit-WinHabPrt'!$C$4,C17&lt;'Mit-WinHabPrt'!$C$5),'Mit-WinHabPrt'!$C$20/('Mit-WinHabPrt'!$C$5-'Mit-WinHabPrt'!$C$4),0)</f>
        <v>0</v>
      </c>
      <c r="K17" s="286">
        <f>fbreedrate*IF(AND(C17&gt;='Mit-SumHabRst'!$C$4,C17&lt;'Mit-SumHabRst'!$C$5),VLOOKUP(C17,'Mit-SumHabRst'!$P$35:$S$134,4),0)</f>
        <v>0</v>
      </c>
      <c r="L17" s="278">
        <f t="shared" si="1"/>
        <v>0</v>
      </c>
      <c r="M17" s="588">
        <f t="shared" si="2"/>
        <v>0</v>
      </c>
      <c r="N17" s="586">
        <f t="shared" si="3"/>
        <v>0</v>
      </c>
      <c r="O17" s="589">
        <f t="shared" si="7"/>
        <v>0</v>
      </c>
    </row>
    <row r="18" spans="2:17" x14ac:dyDescent="0.3">
      <c r="B18" s="25">
        <v>11</v>
      </c>
      <c r="C18" s="14">
        <f t="shared" si="8"/>
        <v>10</v>
      </c>
      <c r="D18" s="88">
        <f t="shared" si="0"/>
        <v>0</v>
      </c>
      <c r="E18" s="86">
        <f t="shared" si="4"/>
        <v>0</v>
      </c>
      <c r="F18" s="86">
        <f t="shared" si="5"/>
        <v>0</v>
      </c>
      <c r="G18" s="283">
        <f t="shared" si="6"/>
        <v>0</v>
      </c>
      <c r="H18" s="275"/>
      <c r="I18" s="284">
        <f>fbreedrate*IF(AND(C18&gt;='Mit-SumHabPrt'!$C$4, C18&lt;'Mit-SumHabPrt'!$C$5),'Mit-SumHabPrt'!$C$16,0)</f>
        <v>0</v>
      </c>
      <c r="J18" s="285">
        <f>IF(AND(C18&gt;='Mit-WinHabPrt'!$C$4,C18&lt;'Mit-WinHabPrt'!$C$5),'Mit-WinHabPrt'!$C$20/('Mit-WinHabPrt'!$C$5-'Mit-WinHabPrt'!$C$4),0)</f>
        <v>0</v>
      </c>
      <c r="K18" s="286">
        <f>fbreedrate*IF(AND(C18&gt;='Mit-SumHabRst'!$C$4,C18&lt;'Mit-SumHabRst'!$C$5),VLOOKUP(C18,'Mit-SumHabRst'!$P$35:$S$134,4),0)</f>
        <v>0</v>
      </c>
      <c r="L18" s="278">
        <f t="shared" si="1"/>
        <v>0</v>
      </c>
      <c r="M18" s="588">
        <f t="shared" si="2"/>
        <v>0</v>
      </c>
      <c r="N18" s="586">
        <f t="shared" si="3"/>
        <v>0</v>
      </c>
      <c r="O18" s="589">
        <f t="shared" si="7"/>
        <v>0</v>
      </c>
    </row>
    <row r="19" spans="2:17" x14ac:dyDescent="0.3">
      <c r="B19" s="25">
        <v>12</v>
      </c>
      <c r="C19" s="14">
        <f t="shared" si="8"/>
        <v>11</v>
      </c>
      <c r="D19" s="88">
        <f t="shared" si="0"/>
        <v>0</v>
      </c>
      <c r="E19" s="86">
        <f t="shared" si="4"/>
        <v>0</v>
      </c>
      <c r="F19" s="86">
        <f t="shared" si="5"/>
        <v>0</v>
      </c>
      <c r="G19" s="283">
        <f t="shared" si="6"/>
        <v>0</v>
      </c>
      <c r="H19" s="275"/>
      <c r="I19" s="284">
        <f>fbreedrate*IF(AND(C19&gt;='Mit-SumHabPrt'!$C$4, C19&lt;'Mit-SumHabPrt'!$C$5),'Mit-SumHabPrt'!$C$16,0)</f>
        <v>0</v>
      </c>
      <c r="J19" s="285">
        <f>IF(AND(C19&gt;='Mit-WinHabPrt'!$C$4,C19&lt;'Mit-WinHabPrt'!$C$5),'Mit-WinHabPrt'!$C$20/('Mit-WinHabPrt'!$C$5-'Mit-WinHabPrt'!$C$4),0)</f>
        <v>0</v>
      </c>
      <c r="K19" s="286">
        <f>fbreedrate*IF(AND(C19&gt;='Mit-SumHabRst'!$C$4,C19&lt;'Mit-SumHabRst'!$C$5),VLOOKUP(C19,'Mit-SumHabRst'!$P$35:$S$134,4),0)</f>
        <v>0</v>
      </c>
      <c r="L19" s="278">
        <f t="shared" si="1"/>
        <v>0</v>
      </c>
      <c r="M19" s="588">
        <f t="shared" si="2"/>
        <v>0</v>
      </c>
      <c r="N19" s="586">
        <f t="shared" si="3"/>
        <v>0</v>
      </c>
      <c r="O19" s="589">
        <f t="shared" si="7"/>
        <v>0</v>
      </c>
    </row>
    <row r="20" spans="2:17" x14ac:dyDescent="0.3">
      <c r="B20" s="25">
        <v>13</v>
      </c>
      <c r="C20" s="14">
        <f t="shared" si="8"/>
        <v>12</v>
      </c>
      <c r="D20" s="88">
        <f t="shared" si="0"/>
        <v>0</v>
      </c>
      <c r="E20" s="86">
        <f t="shared" si="4"/>
        <v>0</v>
      </c>
      <c r="F20" s="86">
        <f t="shared" si="5"/>
        <v>0</v>
      </c>
      <c r="G20" s="283">
        <f t="shared" si="6"/>
        <v>0</v>
      </c>
      <c r="H20" s="275"/>
      <c r="I20" s="284">
        <f>fbreedrate*IF(AND(C20&gt;='Mit-SumHabPrt'!$C$4, C20&lt;'Mit-SumHabPrt'!$C$5),'Mit-SumHabPrt'!$C$16,0)</f>
        <v>0</v>
      </c>
      <c r="J20" s="285">
        <f>IF(AND(C20&gt;='Mit-WinHabPrt'!$C$4,C20&lt;'Mit-WinHabPrt'!$C$5),'Mit-WinHabPrt'!$C$20/('Mit-WinHabPrt'!$C$5-'Mit-WinHabPrt'!$C$4),0)</f>
        <v>0</v>
      </c>
      <c r="K20" s="286">
        <f>fbreedrate*IF(AND(C20&gt;='Mit-SumHabRst'!$C$4,C20&lt;'Mit-SumHabRst'!$C$5),VLOOKUP(C20,'Mit-SumHabRst'!$P$35:$S$134,4),0)</f>
        <v>0</v>
      </c>
      <c r="L20" s="278">
        <f t="shared" si="1"/>
        <v>0</v>
      </c>
      <c r="M20" s="588">
        <f t="shared" si="2"/>
        <v>0</v>
      </c>
      <c r="N20" s="586">
        <f t="shared" si="3"/>
        <v>0</v>
      </c>
      <c r="O20" s="589">
        <f t="shared" si="7"/>
        <v>0</v>
      </c>
    </row>
    <row r="21" spans="2:17" x14ac:dyDescent="0.3">
      <c r="B21" s="25">
        <v>14</v>
      </c>
      <c r="C21" s="14">
        <f t="shared" si="8"/>
        <v>13</v>
      </c>
      <c r="D21" s="88">
        <f t="shared" si="0"/>
        <v>0</v>
      </c>
      <c r="E21" s="86">
        <f t="shared" si="4"/>
        <v>0</v>
      </c>
      <c r="F21" s="86">
        <f t="shared" si="5"/>
        <v>0</v>
      </c>
      <c r="G21" s="283">
        <f t="shared" si="6"/>
        <v>0</v>
      </c>
      <c r="H21" s="275"/>
      <c r="I21" s="284">
        <f>fbreedrate*IF(AND(C21&gt;='Mit-SumHabPrt'!$C$4, C21&lt;'Mit-SumHabPrt'!$C$5),'Mit-SumHabPrt'!$C$16,0)</f>
        <v>0</v>
      </c>
      <c r="J21" s="285">
        <f>IF(AND(C21&gt;='Mit-WinHabPrt'!$C$4,C21&lt;'Mit-WinHabPrt'!$C$5),'Mit-WinHabPrt'!$C$20/('Mit-WinHabPrt'!$C$5-'Mit-WinHabPrt'!$C$4),0)</f>
        <v>0</v>
      </c>
      <c r="K21" s="286">
        <f>fbreedrate*IF(AND(C21&gt;='Mit-SumHabRst'!$C$4,C21&lt;'Mit-SumHabRst'!$C$5),VLOOKUP(C21,'Mit-SumHabRst'!$P$35:$S$134,4),0)</f>
        <v>0</v>
      </c>
      <c r="L21" s="278">
        <f t="shared" si="1"/>
        <v>0</v>
      </c>
      <c r="M21" s="588">
        <f t="shared" si="2"/>
        <v>0</v>
      </c>
      <c r="N21" s="586">
        <f t="shared" si="3"/>
        <v>0</v>
      </c>
      <c r="O21" s="589">
        <f t="shared" si="7"/>
        <v>0</v>
      </c>
    </row>
    <row r="22" spans="2:17" x14ac:dyDescent="0.3">
      <c r="B22" s="25">
        <v>15</v>
      </c>
      <c r="C22" s="14">
        <f t="shared" si="8"/>
        <v>14</v>
      </c>
      <c r="D22" s="88">
        <f t="shared" si="0"/>
        <v>0</v>
      </c>
      <c r="E22" s="86">
        <f t="shared" si="4"/>
        <v>0</v>
      </c>
      <c r="F22" s="86">
        <f t="shared" si="5"/>
        <v>0</v>
      </c>
      <c r="G22" s="283">
        <f t="shared" si="6"/>
        <v>0</v>
      </c>
      <c r="H22" s="275"/>
      <c r="I22" s="284">
        <f>fbreedrate*IF(AND(C22&gt;='Mit-SumHabPrt'!$C$4, C22&lt;'Mit-SumHabPrt'!$C$5),'Mit-SumHabPrt'!$C$16,0)</f>
        <v>0</v>
      </c>
      <c r="J22" s="285">
        <f>IF(AND(C22&gt;='Mit-WinHabPrt'!$C$4,C22&lt;'Mit-WinHabPrt'!$C$5),'Mit-WinHabPrt'!$C$20/('Mit-WinHabPrt'!$C$5-'Mit-WinHabPrt'!$C$4),0)</f>
        <v>0</v>
      </c>
      <c r="K22" s="286">
        <f>fbreedrate*IF(AND(C22&gt;='Mit-SumHabRst'!$C$4,C22&lt;'Mit-SumHabRst'!$C$5),VLOOKUP(C22,'Mit-SumHabRst'!$P$35:$S$134,4),0)</f>
        <v>0</v>
      </c>
      <c r="L22" s="278">
        <f t="shared" si="1"/>
        <v>0</v>
      </c>
      <c r="M22" s="588">
        <f t="shared" si="2"/>
        <v>0</v>
      </c>
      <c r="N22" s="586">
        <f t="shared" si="3"/>
        <v>0</v>
      </c>
      <c r="O22" s="589">
        <f t="shared" si="7"/>
        <v>0</v>
      </c>
    </row>
    <row r="23" spans="2:17" x14ac:dyDescent="0.3">
      <c r="B23" s="25">
        <v>16</v>
      </c>
      <c r="C23" s="14">
        <f t="shared" si="8"/>
        <v>15</v>
      </c>
      <c r="D23" s="88">
        <f t="shared" si="0"/>
        <v>0</v>
      </c>
      <c r="E23" s="86">
        <f t="shared" si="4"/>
        <v>0</v>
      </c>
      <c r="F23" s="86">
        <f t="shared" si="5"/>
        <v>0</v>
      </c>
      <c r="G23" s="283">
        <f t="shared" si="6"/>
        <v>0</v>
      </c>
      <c r="H23" s="275"/>
      <c r="I23" s="284">
        <f>fbreedrate*IF(AND(C23&gt;='Mit-SumHabPrt'!$C$4, C23&lt;'Mit-SumHabPrt'!$C$5),'Mit-SumHabPrt'!$C$16,0)</f>
        <v>0</v>
      </c>
      <c r="J23" s="285">
        <f>IF(AND(C23&gt;='Mit-WinHabPrt'!$C$4,C23&lt;'Mit-WinHabPrt'!$C$5),'Mit-WinHabPrt'!$C$20/('Mit-WinHabPrt'!$C$5-'Mit-WinHabPrt'!$C$4),0)</f>
        <v>0</v>
      </c>
      <c r="K23" s="286">
        <f>fbreedrate*IF(AND(C23&gt;='Mit-SumHabRst'!$C$4,C23&lt;'Mit-SumHabRst'!$C$5),VLOOKUP(C23,'Mit-SumHabRst'!$P$35:$S$134,4),0)</f>
        <v>0</v>
      </c>
      <c r="L23" s="278">
        <f t="shared" si="1"/>
        <v>0</v>
      </c>
      <c r="M23" s="588">
        <f t="shared" si="2"/>
        <v>0</v>
      </c>
      <c r="N23" s="586">
        <f t="shared" si="3"/>
        <v>0</v>
      </c>
      <c r="O23" s="589">
        <f t="shared" si="7"/>
        <v>0</v>
      </c>
    </row>
    <row r="24" spans="2:17" x14ac:dyDescent="0.3">
      <c r="B24" s="25">
        <v>17</v>
      </c>
      <c r="C24" s="14">
        <f t="shared" si="8"/>
        <v>16</v>
      </c>
      <c r="D24" s="88">
        <f t="shared" si="0"/>
        <v>0</v>
      </c>
      <c r="E24" s="86">
        <f t="shared" si="4"/>
        <v>0</v>
      </c>
      <c r="F24" s="86">
        <f t="shared" si="5"/>
        <v>0</v>
      </c>
      <c r="G24" s="283">
        <f t="shared" si="6"/>
        <v>0</v>
      </c>
      <c r="H24" s="275"/>
      <c r="I24" s="284">
        <f>fbreedrate*IF(AND(C24&gt;='Mit-SumHabPrt'!$C$4, C24&lt;'Mit-SumHabPrt'!$C$5),'Mit-SumHabPrt'!$C$16,0)</f>
        <v>0</v>
      </c>
      <c r="J24" s="285">
        <f>IF(AND(C24&gt;='Mit-WinHabPrt'!$C$4,C24&lt;'Mit-WinHabPrt'!$C$5),'Mit-WinHabPrt'!$C$20/('Mit-WinHabPrt'!$C$5-'Mit-WinHabPrt'!$C$4),0)</f>
        <v>0</v>
      </c>
      <c r="K24" s="286">
        <f>fbreedrate*IF(AND(C24&gt;='Mit-SumHabRst'!$C$4,C24&lt;'Mit-SumHabRst'!$C$5),VLOOKUP(C24,'Mit-SumHabRst'!$P$35:$S$134,4),0)</f>
        <v>0</v>
      </c>
      <c r="L24" s="278">
        <f t="shared" si="1"/>
        <v>0</v>
      </c>
      <c r="M24" s="588">
        <f t="shared" si="2"/>
        <v>0</v>
      </c>
      <c r="N24" s="586">
        <f t="shared" si="3"/>
        <v>0</v>
      </c>
      <c r="O24" s="589">
        <f t="shared" si="7"/>
        <v>0</v>
      </c>
    </row>
    <row r="25" spans="2:17" x14ac:dyDescent="0.3">
      <c r="B25" s="25">
        <v>18</v>
      </c>
      <c r="C25" s="14">
        <f t="shared" si="8"/>
        <v>17</v>
      </c>
      <c r="D25" s="88">
        <f t="shared" si="0"/>
        <v>0</v>
      </c>
      <c r="E25" s="86">
        <f t="shared" si="4"/>
        <v>0</v>
      </c>
      <c r="F25" s="86">
        <f t="shared" si="5"/>
        <v>0</v>
      </c>
      <c r="G25" s="283">
        <f t="shared" si="6"/>
        <v>0</v>
      </c>
      <c r="H25" s="275"/>
      <c r="I25" s="284">
        <f>fbreedrate*IF(AND(C25&gt;='Mit-SumHabPrt'!$C$4, C25&lt;'Mit-SumHabPrt'!$C$5),'Mit-SumHabPrt'!$C$16,0)</f>
        <v>0</v>
      </c>
      <c r="J25" s="285">
        <f>IF(AND(C25&gt;='Mit-WinHabPrt'!$C$4,C25&lt;'Mit-WinHabPrt'!$C$5),'Mit-WinHabPrt'!$C$20/('Mit-WinHabPrt'!$C$5-'Mit-WinHabPrt'!$C$4),0)</f>
        <v>0</v>
      </c>
      <c r="K25" s="286">
        <f>fbreedrate*IF(AND(C25&gt;='Mit-SumHabRst'!$C$4,C25&lt;'Mit-SumHabRst'!$C$5),VLOOKUP(C25,'Mit-SumHabRst'!$P$35:$S$134,4),0)</f>
        <v>0</v>
      </c>
      <c r="L25" s="278">
        <f t="shared" si="1"/>
        <v>0</v>
      </c>
      <c r="M25" s="588">
        <f t="shared" si="2"/>
        <v>0</v>
      </c>
      <c r="N25" s="586">
        <f t="shared" si="3"/>
        <v>0</v>
      </c>
      <c r="O25" s="589">
        <f t="shared" si="7"/>
        <v>0</v>
      </c>
    </row>
    <row r="26" spans="2:17" x14ac:dyDescent="0.3">
      <c r="B26" s="25">
        <v>19</v>
      </c>
      <c r="C26" s="14">
        <f t="shared" si="8"/>
        <v>18</v>
      </c>
      <c r="D26" s="88">
        <f t="shared" si="0"/>
        <v>0</v>
      </c>
      <c r="E26" s="86">
        <f t="shared" si="4"/>
        <v>0</v>
      </c>
      <c r="F26" s="86">
        <f t="shared" si="5"/>
        <v>0</v>
      </c>
      <c r="G26" s="283">
        <f t="shared" si="6"/>
        <v>0</v>
      </c>
      <c r="H26" s="275"/>
      <c r="I26" s="284">
        <f>fbreedrate*IF(AND(C26&gt;='Mit-SumHabPrt'!$C$4, C26&lt;'Mit-SumHabPrt'!$C$5),'Mit-SumHabPrt'!$C$16,0)</f>
        <v>0</v>
      </c>
      <c r="J26" s="285">
        <f>IF(AND(C26&gt;='Mit-WinHabPrt'!$C$4,C26&lt;'Mit-WinHabPrt'!$C$5),'Mit-WinHabPrt'!$C$20/('Mit-WinHabPrt'!$C$5-'Mit-WinHabPrt'!$C$4),0)</f>
        <v>0</v>
      </c>
      <c r="K26" s="286">
        <f>fbreedrate*IF(AND(C26&gt;='Mit-SumHabRst'!$C$4,C26&lt;'Mit-SumHabRst'!$C$5),VLOOKUP(C26,'Mit-SumHabRst'!$P$35:$S$134,4),0)</f>
        <v>0</v>
      </c>
      <c r="L26" s="278">
        <f t="shared" si="1"/>
        <v>0</v>
      </c>
      <c r="M26" s="588">
        <f t="shared" si="2"/>
        <v>0</v>
      </c>
      <c r="N26" s="586">
        <f t="shared" si="3"/>
        <v>0</v>
      </c>
      <c r="O26" s="589">
        <f t="shared" si="7"/>
        <v>0</v>
      </c>
      <c r="P26" s="69"/>
      <c r="Q26" s="70"/>
    </row>
    <row r="27" spans="2:17" x14ac:dyDescent="0.3">
      <c r="B27" s="25">
        <v>20</v>
      </c>
      <c r="C27" s="14">
        <f t="shared" si="8"/>
        <v>19</v>
      </c>
      <c r="D27" s="88">
        <f t="shared" si="0"/>
        <v>0</v>
      </c>
      <c r="E27" s="86">
        <f t="shared" si="4"/>
        <v>0</v>
      </c>
      <c r="F27" s="86">
        <f t="shared" si="5"/>
        <v>0</v>
      </c>
      <c r="G27" s="283">
        <f t="shared" si="6"/>
        <v>0</v>
      </c>
      <c r="H27" s="275"/>
      <c r="I27" s="284">
        <f>fbreedrate*IF(AND(C27&gt;='Mit-SumHabPrt'!$C$4, C27&lt;'Mit-SumHabPrt'!$C$5),'Mit-SumHabPrt'!$C$16,0)</f>
        <v>0</v>
      </c>
      <c r="J27" s="285">
        <f>IF(AND(C27&gt;='Mit-WinHabPrt'!$C$4,C27&lt;'Mit-WinHabPrt'!$C$5),'Mit-WinHabPrt'!$C$20/('Mit-WinHabPrt'!$C$5-'Mit-WinHabPrt'!$C$4),0)</f>
        <v>0</v>
      </c>
      <c r="K27" s="286">
        <f>fbreedrate*IF(AND(C27&gt;='Mit-SumHabRst'!$C$4,C27&lt;'Mit-SumHabRst'!$C$5),VLOOKUP(C27,'Mit-SumHabRst'!$P$35:$S$134,4),0)</f>
        <v>0</v>
      </c>
      <c r="L27" s="278">
        <f t="shared" si="1"/>
        <v>0</v>
      </c>
      <c r="M27" s="588">
        <f t="shared" si="2"/>
        <v>0</v>
      </c>
      <c r="N27" s="586">
        <f t="shared" si="3"/>
        <v>0</v>
      </c>
      <c r="O27" s="589">
        <f t="shared" si="7"/>
        <v>0</v>
      </c>
      <c r="P27" s="69"/>
      <c r="Q27" s="70"/>
    </row>
    <row r="28" spans="2:17" x14ac:dyDescent="0.3">
      <c r="B28" s="25">
        <v>21</v>
      </c>
      <c r="C28" s="14">
        <f t="shared" si="8"/>
        <v>20</v>
      </c>
      <c r="D28" s="88">
        <f t="shared" si="0"/>
        <v>0</v>
      </c>
      <c r="E28" s="86">
        <f t="shared" si="4"/>
        <v>0</v>
      </c>
      <c r="F28" s="86">
        <f t="shared" si="5"/>
        <v>0</v>
      </c>
      <c r="G28" s="283">
        <f t="shared" si="6"/>
        <v>0</v>
      </c>
      <c r="H28" s="275"/>
      <c r="I28" s="284">
        <f>fbreedrate*IF(AND(C28&gt;='Mit-SumHabPrt'!$C$4, C28&lt;'Mit-SumHabPrt'!$C$5),'Mit-SumHabPrt'!$C$16,0)</f>
        <v>0</v>
      </c>
      <c r="J28" s="285">
        <f>IF(AND(C28&gt;='Mit-WinHabPrt'!$C$4,C28&lt;'Mit-WinHabPrt'!$C$5),'Mit-WinHabPrt'!$C$20/('Mit-WinHabPrt'!$C$5-'Mit-WinHabPrt'!$C$4),0)</f>
        <v>0</v>
      </c>
      <c r="K28" s="286">
        <f>fbreedrate*IF(AND(C28&gt;='Mit-SumHabRst'!$C$4,C28&lt;'Mit-SumHabRst'!$C$5),VLOOKUP(C28,'Mit-SumHabRst'!$P$35:$S$134,4),0)</f>
        <v>0</v>
      </c>
      <c r="L28" s="278">
        <f t="shared" si="1"/>
        <v>0</v>
      </c>
      <c r="M28" s="588">
        <f t="shared" si="2"/>
        <v>0</v>
      </c>
      <c r="N28" s="586">
        <f t="shared" si="3"/>
        <v>0</v>
      </c>
      <c r="O28" s="589">
        <f t="shared" si="7"/>
        <v>0</v>
      </c>
      <c r="P28" s="69"/>
      <c r="Q28" s="70"/>
    </row>
    <row r="29" spans="2:17" x14ac:dyDescent="0.3">
      <c r="B29" s="25">
        <v>22</v>
      </c>
      <c r="C29" s="14">
        <f t="shared" si="8"/>
        <v>21</v>
      </c>
      <c r="D29" s="88">
        <f t="shared" si="0"/>
        <v>0</v>
      </c>
      <c r="E29" s="86">
        <f t="shared" si="4"/>
        <v>0</v>
      </c>
      <c r="F29" s="86">
        <f t="shared" si="5"/>
        <v>0</v>
      </c>
      <c r="G29" s="283">
        <f t="shared" si="6"/>
        <v>0</v>
      </c>
      <c r="H29" s="275"/>
      <c r="I29" s="284">
        <f>fbreedrate*IF(AND(C29&gt;='Mit-SumHabPrt'!$C$4, C29&lt;'Mit-SumHabPrt'!$C$5),'Mit-SumHabPrt'!$C$16,0)</f>
        <v>0</v>
      </c>
      <c r="J29" s="285">
        <f>IF(AND(C29&gt;='Mit-WinHabPrt'!$C$4,C29&lt;'Mit-WinHabPrt'!$C$5),'Mit-WinHabPrt'!$C$20/('Mit-WinHabPrt'!$C$5-'Mit-WinHabPrt'!$C$4),0)</f>
        <v>0</v>
      </c>
      <c r="K29" s="286">
        <f>fbreedrate*IF(AND(C29&gt;='Mit-SumHabRst'!$C$4,C29&lt;'Mit-SumHabRst'!$C$5),VLOOKUP(C29,'Mit-SumHabRst'!$P$35:$S$134,4),0)</f>
        <v>0</v>
      </c>
      <c r="L29" s="278">
        <f t="shared" si="1"/>
        <v>0</v>
      </c>
      <c r="M29" s="588">
        <f t="shared" si="2"/>
        <v>0</v>
      </c>
      <c r="N29" s="586">
        <f t="shared" si="3"/>
        <v>0</v>
      </c>
      <c r="O29" s="589">
        <f t="shared" si="7"/>
        <v>0</v>
      </c>
      <c r="P29" s="69"/>
      <c r="Q29" s="70"/>
    </row>
    <row r="30" spans="2:17" x14ac:dyDescent="0.3">
      <c r="B30" s="25">
        <v>23</v>
      </c>
      <c r="C30" s="14">
        <f t="shared" si="8"/>
        <v>22</v>
      </c>
      <c r="D30" s="88">
        <f t="shared" si="0"/>
        <v>0</v>
      </c>
      <c r="E30" s="86">
        <f t="shared" si="4"/>
        <v>0</v>
      </c>
      <c r="F30" s="86">
        <f t="shared" si="5"/>
        <v>0</v>
      </c>
      <c r="G30" s="283">
        <f t="shared" si="6"/>
        <v>0</v>
      </c>
      <c r="H30" s="275"/>
      <c r="I30" s="284">
        <f>fbreedrate*IF(AND(C30&gt;='Mit-SumHabPrt'!$C$4, C30&lt;'Mit-SumHabPrt'!$C$5),'Mit-SumHabPrt'!$C$16,0)</f>
        <v>0</v>
      </c>
      <c r="J30" s="285">
        <f>IF(AND(C30&gt;='Mit-WinHabPrt'!$C$4,C30&lt;'Mit-WinHabPrt'!$C$5),'Mit-WinHabPrt'!$C$20/('Mit-WinHabPrt'!$C$5-'Mit-WinHabPrt'!$C$4),0)</f>
        <v>0</v>
      </c>
      <c r="K30" s="286">
        <f>fbreedrate*IF(AND(C30&gt;='Mit-SumHabRst'!$C$4,C30&lt;'Mit-SumHabRst'!$C$5),VLOOKUP(C30,'Mit-SumHabRst'!$P$35:$S$134,4),0)</f>
        <v>0</v>
      </c>
      <c r="L30" s="278">
        <f t="shared" si="1"/>
        <v>0</v>
      </c>
      <c r="M30" s="588">
        <f t="shared" si="2"/>
        <v>0</v>
      </c>
      <c r="N30" s="586">
        <f t="shared" si="3"/>
        <v>0</v>
      </c>
      <c r="O30" s="589">
        <f t="shared" si="7"/>
        <v>0</v>
      </c>
      <c r="P30" s="69"/>
      <c r="Q30" s="70"/>
    </row>
    <row r="31" spans="2:17" x14ac:dyDescent="0.3">
      <c r="B31" s="25">
        <v>24</v>
      </c>
      <c r="C31" s="14">
        <f t="shared" si="8"/>
        <v>23</v>
      </c>
      <c r="D31" s="88">
        <f t="shared" si="0"/>
        <v>0</v>
      </c>
      <c r="E31" s="86">
        <f t="shared" si="4"/>
        <v>0</v>
      </c>
      <c r="F31" s="86">
        <f t="shared" si="5"/>
        <v>0</v>
      </c>
      <c r="G31" s="283">
        <f t="shared" si="6"/>
        <v>0</v>
      </c>
      <c r="H31" s="275"/>
      <c r="I31" s="284">
        <f>fbreedrate*IF(AND(C31&gt;='Mit-SumHabPrt'!$C$4, C31&lt;'Mit-SumHabPrt'!$C$5),'Mit-SumHabPrt'!$C$16,0)</f>
        <v>0</v>
      </c>
      <c r="J31" s="285">
        <f>IF(AND(C31&gt;='Mit-WinHabPrt'!$C$4,C31&lt;'Mit-WinHabPrt'!$C$5),'Mit-WinHabPrt'!$C$20/('Mit-WinHabPrt'!$C$5-'Mit-WinHabPrt'!$C$4),0)</f>
        <v>0</v>
      </c>
      <c r="K31" s="286">
        <f>fbreedrate*IF(AND(C31&gt;='Mit-SumHabRst'!$C$4,C31&lt;'Mit-SumHabRst'!$C$5),VLOOKUP(C31,'Mit-SumHabRst'!$P$35:$S$134,4),0)</f>
        <v>0</v>
      </c>
      <c r="L31" s="278">
        <f t="shared" si="1"/>
        <v>0</v>
      </c>
      <c r="M31" s="588">
        <f t="shared" si="2"/>
        <v>0</v>
      </c>
      <c r="N31" s="586">
        <f t="shared" si="3"/>
        <v>0</v>
      </c>
      <c r="O31" s="589">
        <f t="shared" si="7"/>
        <v>0</v>
      </c>
      <c r="P31" s="69"/>
      <c r="Q31" s="70"/>
    </row>
    <row r="32" spans="2:17" x14ac:dyDescent="0.3">
      <c r="B32" s="25">
        <v>25</v>
      </c>
      <c r="C32" s="14">
        <f t="shared" si="8"/>
        <v>24</v>
      </c>
      <c r="D32" s="88">
        <f t="shared" si="0"/>
        <v>0</v>
      </c>
      <c r="E32" s="86">
        <f t="shared" si="4"/>
        <v>0</v>
      </c>
      <c r="F32" s="86">
        <f t="shared" si="5"/>
        <v>0</v>
      </c>
      <c r="G32" s="283">
        <f t="shared" si="6"/>
        <v>0</v>
      </c>
      <c r="H32" s="275"/>
      <c r="I32" s="284">
        <f>fbreedrate*IF(AND(C32&gt;='Mit-SumHabPrt'!$C$4, C32&lt;'Mit-SumHabPrt'!$C$5),'Mit-SumHabPrt'!$C$16,0)</f>
        <v>0</v>
      </c>
      <c r="J32" s="285">
        <f>IF(AND(C32&gt;='Mit-WinHabPrt'!$C$4,C32&lt;'Mit-WinHabPrt'!$C$5),'Mit-WinHabPrt'!$C$20/('Mit-WinHabPrt'!$C$5-'Mit-WinHabPrt'!$C$4),0)</f>
        <v>0</v>
      </c>
      <c r="K32" s="286">
        <f>fbreedrate*IF(AND(C32&gt;='Mit-SumHabRst'!$C$4,C32&lt;'Mit-SumHabRst'!$C$5),VLOOKUP(C32,'Mit-SumHabRst'!$P$35:$S$134,4),0)</f>
        <v>0</v>
      </c>
      <c r="L32" s="278">
        <f t="shared" si="1"/>
        <v>0</v>
      </c>
      <c r="M32" s="588">
        <f t="shared" si="2"/>
        <v>0</v>
      </c>
      <c r="N32" s="586">
        <f t="shared" si="3"/>
        <v>0</v>
      </c>
      <c r="O32" s="589">
        <f t="shared" si="7"/>
        <v>0</v>
      </c>
      <c r="P32" s="69"/>
      <c r="Q32" s="70"/>
    </row>
    <row r="33" spans="2:17" s="44" customFormat="1" x14ac:dyDescent="0.3">
      <c r="B33" s="42">
        <v>26</v>
      </c>
      <c r="C33" s="43">
        <f>C32+1</f>
        <v>25</v>
      </c>
      <c r="D33" s="88">
        <f t="shared" si="0"/>
        <v>0</v>
      </c>
      <c r="E33" s="86">
        <f t="shared" si="4"/>
        <v>0</v>
      </c>
      <c r="F33" s="86">
        <f t="shared" si="5"/>
        <v>0</v>
      </c>
      <c r="G33" s="283">
        <f t="shared" si="6"/>
        <v>0</v>
      </c>
      <c r="H33" s="275"/>
      <c r="I33" s="284">
        <f>fbreedrate*IF(AND(C33&gt;='Mit-SumHabPrt'!$C$4, C33&lt;'Mit-SumHabPrt'!$C$5),'Mit-SumHabPrt'!$C$16,0)</f>
        <v>0</v>
      </c>
      <c r="J33" s="285">
        <f>IF(AND(C33&gt;='Mit-WinHabPrt'!$C$4,C33&lt;'Mit-WinHabPrt'!$C$5),'Mit-WinHabPrt'!$C$20/('Mit-WinHabPrt'!$C$5-'Mit-WinHabPrt'!$C$4),0)</f>
        <v>0</v>
      </c>
      <c r="K33" s="286">
        <f>fbreedrate*IF(AND(C33&gt;='Mit-SumHabRst'!$C$4,C33&lt;'Mit-SumHabRst'!$C$5),VLOOKUP(C33,'Mit-SumHabRst'!$P$35:$S$134,4),0)</f>
        <v>0</v>
      </c>
      <c r="L33" s="278">
        <f t="shared" si="1"/>
        <v>0</v>
      </c>
      <c r="M33" s="588">
        <f t="shared" si="2"/>
        <v>0</v>
      </c>
      <c r="N33" s="586">
        <f t="shared" si="3"/>
        <v>0</v>
      </c>
      <c r="O33" s="589">
        <f t="shared" si="7"/>
        <v>0</v>
      </c>
      <c r="P33" s="69"/>
      <c r="Q33" s="70"/>
    </row>
    <row r="34" spans="2:17" x14ac:dyDescent="0.3">
      <c r="B34" s="25">
        <v>27</v>
      </c>
      <c r="C34" s="14">
        <f>C33+1</f>
        <v>26</v>
      </c>
      <c r="D34" s="88">
        <f t="shared" si="0"/>
        <v>0</v>
      </c>
      <c r="E34" s="86">
        <f t="shared" si="4"/>
        <v>0</v>
      </c>
      <c r="F34" s="86">
        <f t="shared" si="5"/>
        <v>0</v>
      </c>
      <c r="G34" s="283">
        <f t="shared" si="6"/>
        <v>0</v>
      </c>
      <c r="H34" s="275"/>
      <c r="I34" s="284">
        <f>fbreedrate*IF(AND(C34&gt;='Mit-SumHabPrt'!$C$4, C34&lt;'Mit-SumHabPrt'!$C$5),'Mit-SumHabPrt'!$C$16,0)</f>
        <v>0</v>
      </c>
      <c r="J34" s="285">
        <f>IF(AND(C34&gt;='Mit-WinHabPrt'!$C$4,C34&lt;'Mit-WinHabPrt'!$C$5),'Mit-WinHabPrt'!$C$20/('Mit-WinHabPrt'!$C$5-'Mit-WinHabPrt'!$C$4),0)</f>
        <v>0</v>
      </c>
      <c r="K34" s="286">
        <f>fbreedrate*IF(AND(C34&gt;='Mit-SumHabRst'!$C$4,C34&lt;'Mit-SumHabRst'!$C$5),VLOOKUP(C34,'Mit-SumHabRst'!$P$35:$S$134,4),0)</f>
        <v>0</v>
      </c>
      <c r="L34" s="278">
        <f t="shared" si="1"/>
        <v>0</v>
      </c>
      <c r="M34" s="588">
        <f t="shared" si="2"/>
        <v>0</v>
      </c>
      <c r="N34" s="586">
        <f t="shared" si="3"/>
        <v>0</v>
      </c>
      <c r="O34" s="589">
        <f t="shared" si="7"/>
        <v>0</v>
      </c>
      <c r="P34" s="69"/>
      <c r="Q34" s="70"/>
    </row>
    <row r="35" spans="2:17" x14ac:dyDescent="0.3">
      <c r="B35" s="25">
        <v>28</v>
      </c>
      <c r="C35" s="14">
        <f>C34+1</f>
        <v>27</v>
      </c>
      <c r="D35" s="88">
        <f t="shared" si="0"/>
        <v>0</v>
      </c>
      <c r="E35" s="86">
        <f t="shared" si="4"/>
        <v>0</v>
      </c>
      <c r="F35" s="86">
        <f t="shared" si="5"/>
        <v>0</v>
      </c>
      <c r="G35" s="283">
        <f t="shared" si="6"/>
        <v>0</v>
      </c>
      <c r="H35" s="275"/>
      <c r="I35" s="284">
        <f>fbreedrate*IF(AND(C35&gt;='Mit-SumHabPrt'!$C$4, C35&lt;'Mit-SumHabPrt'!$C$5),'Mit-SumHabPrt'!$C$16,0)</f>
        <v>0</v>
      </c>
      <c r="J35" s="285">
        <f>IF(AND(C35&gt;='Mit-WinHabPrt'!$C$4,C35&lt;'Mit-WinHabPrt'!$C$5),'Mit-WinHabPrt'!$C$20/('Mit-WinHabPrt'!$C$5-'Mit-WinHabPrt'!$C$4),0)</f>
        <v>0</v>
      </c>
      <c r="K35" s="286">
        <f>fbreedrate*IF(AND(C35&gt;='Mit-SumHabRst'!$C$4,C35&lt;'Mit-SumHabRst'!$C$5),VLOOKUP(C35,'Mit-SumHabRst'!$P$35:$S$134,4),0)</f>
        <v>0</v>
      </c>
      <c r="L35" s="278">
        <f t="shared" si="1"/>
        <v>0</v>
      </c>
      <c r="M35" s="588">
        <f t="shared" si="2"/>
        <v>0</v>
      </c>
      <c r="N35" s="586">
        <f t="shared" si="3"/>
        <v>0</v>
      </c>
      <c r="O35" s="589">
        <f t="shared" si="7"/>
        <v>0</v>
      </c>
      <c r="P35" s="69"/>
      <c r="Q35" s="70"/>
    </row>
    <row r="36" spans="2:17" x14ac:dyDescent="0.3">
      <c r="B36" s="25">
        <v>29</v>
      </c>
      <c r="C36" s="14">
        <f t="shared" ref="C36:C59" si="9">C35+1</f>
        <v>28</v>
      </c>
      <c r="D36" s="88">
        <f t="shared" si="0"/>
        <v>0</v>
      </c>
      <c r="E36" s="86">
        <f t="shared" si="4"/>
        <v>0</v>
      </c>
      <c r="F36" s="86">
        <f t="shared" si="5"/>
        <v>0</v>
      </c>
      <c r="G36" s="283">
        <f t="shared" si="6"/>
        <v>0</v>
      </c>
      <c r="H36" s="275"/>
      <c r="I36" s="284">
        <f>fbreedrate*IF(AND(C36&gt;='Mit-SumHabPrt'!$C$4, C36&lt;'Mit-SumHabPrt'!$C$5),'Mit-SumHabPrt'!$C$16,0)</f>
        <v>0</v>
      </c>
      <c r="J36" s="285">
        <f>IF(AND(C36&gt;='Mit-WinHabPrt'!$C$4,C36&lt;'Mit-WinHabPrt'!$C$5),'Mit-WinHabPrt'!$C$20/('Mit-WinHabPrt'!$C$5-'Mit-WinHabPrt'!$C$4),0)</f>
        <v>0</v>
      </c>
      <c r="K36" s="286">
        <f>fbreedrate*IF(AND(C36&gt;='Mit-SumHabRst'!$C$4,C36&lt;'Mit-SumHabRst'!$C$5),VLOOKUP(C36,'Mit-SumHabRst'!$P$35:$S$134,4),0)</f>
        <v>0</v>
      </c>
      <c r="L36" s="278">
        <f t="shared" si="1"/>
        <v>0</v>
      </c>
      <c r="M36" s="588">
        <f t="shared" si="2"/>
        <v>0</v>
      </c>
      <c r="N36" s="586">
        <f t="shared" si="3"/>
        <v>0</v>
      </c>
      <c r="O36" s="589">
        <f t="shared" si="7"/>
        <v>0</v>
      </c>
      <c r="P36" s="69"/>
      <c r="Q36" s="70"/>
    </row>
    <row r="37" spans="2:17" x14ac:dyDescent="0.3">
      <c r="B37" s="25">
        <v>30</v>
      </c>
      <c r="C37" s="14">
        <f t="shared" si="9"/>
        <v>29</v>
      </c>
      <c r="D37" s="88">
        <f t="shared" si="0"/>
        <v>0</v>
      </c>
      <c r="E37" s="86">
        <f t="shared" si="4"/>
        <v>0</v>
      </c>
      <c r="F37" s="86">
        <f t="shared" si="5"/>
        <v>0</v>
      </c>
      <c r="G37" s="283">
        <f t="shared" si="6"/>
        <v>0</v>
      </c>
      <c r="H37" s="275"/>
      <c r="I37" s="284">
        <f>fbreedrate*IF(AND(C37&gt;='Mit-SumHabPrt'!$C$4, C37&lt;'Mit-SumHabPrt'!$C$5),'Mit-SumHabPrt'!$C$16,0)</f>
        <v>0</v>
      </c>
      <c r="J37" s="285">
        <f>IF(AND(C37&gt;='Mit-WinHabPrt'!$C$4,C37&lt;'Mit-WinHabPrt'!$C$5),'Mit-WinHabPrt'!$C$20/('Mit-WinHabPrt'!$C$5-'Mit-WinHabPrt'!$C$4),0)</f>
        <v>0</v>
      </c>
      <c r="K37" s="286">
        <f>fbreedrate*IF(AND(C37&gt;='Mit-SumHabRst'!$C$4,C37&lt;'Mit-SumHabRst'!$C$5),VLOOKUP(C37,'Mit-SumHabRst'!$P$35:$S$134,4),0)</f>
        <v>0</v>
      </c>
      <c r="L37" s="278">
        <f t="shared" si="1"/>
        <v>0</v>
      </c>
      <c r="M37" s="588">
        <f t="shared" si="2"/>
        <v>0</v>
      </c>
      <c r="N37" s="586">
        <f t="shared" si="3"/>
        <v>0</v>
      </c>
      <c r="O37" s="589">
        <f t="shared" si="7"/>
        <v>0</v>
      </c>
      <c r="P37" s="69"/>
      <c r="Q37" s="70"/>
    </row>
    <row r="38" spans="2:17" x14ac:dyDescent="0.3">
      <c r="B38" s="25">
        <v>31</v>
      </c>
      <c r="C38" s="14">
        <f t="shared" si="9"/>
        <v>30</v>
      </c>
      <c r="D38" s="88">
        <f t="shared" si="0"/>
        <v>0</v>
      </c>
      <c r="E38" s="86">
        <f t="shared" si="4"/>
        <v>0</v>
      </c>
      <c r="F38" s="86">
        <f t="shared" si="5"/>
        <v>0</v>
      </c>
      <c r="G38" s="283">
        <f t="shared" si="6"/>
        <v>0</v>
      </c>
      <c r="H38" s="275"/>
      <c r="I38" s="284">
        <f>fbreedrate*IF(AND(C38&gt;='Mit-SumHabPrt'!$C$4, C38&lt;'Mit-SumHabPrt'!$C$5),'Mit-SumHabPrt'!$C$16,0)</f>
        <v>0</v>
      </c>
      <c r="J38" s="285">
        <f>IF(AND(C38&gt;='Mit-WinHabPrt'!$C$4,C38&lt;'Mit-WinHabPrt'!$C$5),'Mit-WinHabPrt'!$C$20/('Mit-WinHabPrt'!$C$5-'Mit-WinHabPrt'!$C$4),0)</f>
        <v>0</v>
      </c>
      <c r="K38" s="286">
        <f>fbreedrate*IF(AND(C38&gt;='Mit-SumHabRst'!$C$4,C38&lt;'Mit-SumHabRst'!$C$5),VLOOKUP(C38,'Mit-SumHabRst'!$P$35:$S$134,4),0)</f>
        <v>0</v>
      </c>
      <c r="L38" s="278">
        <f t="shared" si="1"/>
        <v>0</v>
      </c>
      <c r="M38" s="588">
        <f t="shared" si="2"/>
        <v>0</v>
      </c>
      <c r="N38" s="586">
        <f t="shared" si="3"/>
        <v>0</v>
      </c>
      <c r="O38" s="589">
        <f t="shared" si="7"/>
        <v>0</v>
      </c>
      <c r="P38" s="69"/>
      <c r="Q38" s="70"/>
    </row>
    <row r="39" spans="2:17" x14ac:dyDescent="0.3">
      <c r="B39" s="25">
        <v>32</v>
      </c>
      <c r="C39" s="14">
        <f t="shared" si="9"/>
        <v>31</v>
      </c>
      <c r="D39" s="88">
        <f t="shared" si="0"/>
        <v>0</v>
      </c>
      <c r="E39" s="86">
        <f t="shared" si="4"/>
        <v>0</v>
      </c>
      <c r="F39" s="86">
        <f t="shared" si="5"/>
        <v>0</v>
      </c>
      <c r="G39" s="283">
        <f t="shared" si="6"/>
        <v>0</v>
      </c>
      <c r="H39" s="275"/>
      <c r="I39" s="284">
        <f>fbreedrate*IF(AND(C39&gt;='Mit-SumHabPrt'!$C$4, C39&lt;'Mit-SumHabPrt'!$C$5),'Mit-SumHabPrt'!$C$16,0)</f>
        <v>0</v>
      </c>
      <c r="J39" s="285">
        <f>IF(AND(C39&gt;='Mit-WinHabPrt'!$C$4,C39&lt;'Mit-WinHabPrt'!$C$5),'Mit-WinHabPrt'!$C$20/('Mit-WinHabPrt'!$C$5-'Mit-WinHabPrt'!$C$4),0)</f>
        <v>0</v>
      </c>
      <c r="K39" s="286">
        <f>fbreedrate*IF(AND(C39&gt;='Mit-SumHabRst'!$C$4,C39&lt;'Mit-SumHabRst'!$C$5),VLOOKUP(C39,'Mit-SumHabRst'!$P$35:$S$134,4),0)</f>
        <v>0</v>
      </c>
      <c r="L39" s="278">
        <f t="shared" si="1"/>
        <v>0</v>
      </c>
      <c r="M39" s="588">
        <f t="shared" si="2"/>
        <v>0</v>
      </c>
      <c r="N39" s="586">
        <f t="shared" si="3"/>
        <v>0</v>
      </c>
      <c r="O39" s="589">
        <f t="shared" si="7"/>
        <v>0</v>
      </c>
      <c r="P39" s="69"/>
      <c r="Q39" s="70"/>
    </row>
    <row r="40" spans="2:17" x14ac:dyDescent="0.3">
      <c r="B40" s="25">
        <v>33</v>
      </c>
      <c r="C40" s="14">
        <f t="shared" si="9"/>
        <v>32</v>
      </c>
      <c r="D40" s="88">
        <f t="shared" ref="D40:D59" si="10">IF(C40&gt;=endyr,0,injpop)</f>
        <v>0</v>
      </c>
      <c r="E40" s="86">
        <f t="shared" ref="E40:E59" si="11">D40*firstgen</f>
        <v>0</v>
      </c>
      <c r="F40" s="86">
        <f t="shared" ref="F40:F59" si="12">D40*secondgen</f>
        <v>0</v>
      </c>
      <c r="G40" s="283">
        <f t="shared" si="6"/>
        <v>0</v>
      </c>
      <c r="H40" s="275"/>
      <c r="I40" s="284">
        <f>fbreedrate*IF(AND(C40&gt;='Mit-SumHabPrt'!$C$4, C40&lt;'Mit-SumHabPrt'!$C$5),'Mit-SumHabPrt'!$C$16,0)</f>
        <v>0</v>
      </c>
      <c r="J40" s="285">
        <f>IF(AND(C40&gt;='Mit-WinHabPrt'!$C$4,C40&lt;'Mit-WinHabPrt'!$C$5),'Mit-WinHabPrt'!$C$20/('Mit-WinHabPrt'!$C$5-'Mit-WinHabPrt'!$C$4),0)</f>
        <v>0</v>
      </c>
      <c r="K40" s="286">
        <f>fbreedrate*IF(AND(C40&gt;='Mit-SumHabRst'!$C$4,C40&lt;'Mit-SumHabRst'!$C$5),VLOOKUP(C40,'Mit-SumHabRst'!$P$35:$S$134,4),0)</f>
        <v>0</v>
      </c>
      <c r="L40" s="278">
        <f t="shared" ref="L40:L59" si="13">SUM(I40,J40,K40)</f>
        <v>0</v>
      </c>
      <c r="M40" s="588">
        <f t="shared" ref="M40:M59" si="14">L40*firstgenfull</f>
        <v>0</v>
      </c>
      <c r="N40" s="586">
        <f t="shared" ref="N40:N59" si="15">L40*secondgenfull</f>
        <v>0</v>
      </c>
      <c r="O40" s="589">
        <f t="shared" si="7"/>
        <v>0</v>
      </c>
      <c r="P40" s="69"/>
      <c r="Q40" s="70"/>
    </row>
    <row r="41" spans="2:17" x14ac:dyDescent="0.3">
      <c r="B41" s="25">
        <v>34</v>
      </c>
      <c r="C41" s="14">
        <f t="shared" si="9"/>
        <v>33</v>
      </c>
      <c r="D41" s="88">
        <f t="shared" si="10"/>
        <v>0</v>
      </c>
      <c r="E41" s="86">
        <f t="shared" si="11"/>
        <v>0</v>
      </c>
      <c r="F41" s="86">
        <f t="shared" si="12"/>
        <v>0</v>
      </c>
      <c r="G41" s="283">
        <f t="shared" si="6"/>
        <v>0</v>
      </c>
      <c r="H41" s="275"/>
      <c r="I41" s="284">
        <f>fbreedrate*IF(AND(C41&gt;='Mit-SumHabPrt'!$C$4, C41&lt;'Mit-SumHabPrt'!$C$5),'Mit-SumHabPrt'!$C$16,0)</f>
        <v>0</v>
      </c>
      <c r="J41" s="285">
        <f>IF(AND(C41&gt;='Mit-WinHabPrt'!$C$4,C41&lt;'Mit-WinHabPrt'!$C$5),'Mit-WinHabPrt'!$C$20/('Mit-WinHabPrt'!$C$5-'Mit-WinHabPrt'!$C$4),0)</f>
        <v>0</v>
      </c>
      <c r="K41" s="286">
        <f>fbreedrate*IF(AND(C41&gt;='Mit-SumHabRst'!$C$4,C41&lt;'Mit-SumHabRst'!$C$5),VLOOKUP(C41,'Mit-SumHabRst'!$P$35:$S$134,4),0)</f>
        <v>0</v>
      </c>
      <c r="L41" s="278">
        <f t="shared" si="13"/>
        <v>0</v>
      </c>
      <c r="M41" s="588">
        <f t="shared" si="14"/>
        <v>0</v>
      </c>
      <c r="N41" s="586">
        <f t="shared" si="15"/>
        <v>0</v>
      </c>
      <c r="O41" s="589">
        <f t="shared" si="7"/>
        <v>0</v>
      </c>
      <c r="P41" s="69"/>
      <c r="Q41" s="70"/>
    </row>
    <row r="42" spans="2:17" x14ac:dyDescent="0.3">
      <c r="B42" s="25">
        <v>35</v>
      </c>
      <c r="C42" s="14">
        <f t="shared" si="9"/>
        <v>34</v>
      </c>
      <c r="D42" s="88">
        <f t="shared" si="10"/>
        <v>0</v>
      </c>
      <c r="E42" s="86">
        <f t="shared" si="11"/>
        <v>0</v>
      </c>
      <c r="F42" s="86">
        <f t="shared" si="12"/>
        <v>0</v>
      </c>
      <c r="G42" s="283">
        <f t="shared" si="6"/>
        <v>0</v>
      </c>
      <c r="H42" s="275"/>
      <c r="I42" s="284">
        <f>fbreedrate*IF(AND(C42&gt;='Mit-SumHabPrt'!$C$4, C42&lt;'Mit-SumHabPrt'!$C$5),'Mit-SumHabPrt'!$C$16,0)</f>
        <v>0</v>
      </c>
      <c r="J42" s="285">
        <f>IF(AND(C42&gt;='Mit-WinHabPrt'!$C$4,C42&lt;'Mit-WinHabPrt'!$C$5),'Mit-WinHabPrt'!$C$20/('Mit-WinHabPrt'!$C$5-'Mit-WinHabPrt'!$C$4),0)</f>
        <v>0</v>
      </c>
      <c r="K42" s="286">
        <f>fbreedrate*IF(AND(C42&gt;='Mit-SumHabRst'!$C$4,C42&lt;'Mit-SumHabRst'!$C$5),VLOOKUP(C42,'Mit-SumHabRst'!$P$35:$S$134,4),0)</f>
        <v>0</v>
      </c>
      <c r="L42" s="278">
        <f t="shared" si="13"/>
        <v>0</v>
      </c>
      <c r="M42" s="588">
        <f t="shared" si="14"/>
        <v>0</v>
      </c>
      <c r="N42" s="586">
        <f t="shared" si="15"/>
        <v>0</v>
      </c>
      <c r="O42" s="589">
        <f t="shared" si="7"/>
        <v>0</v>
      </c>
      <c r="P42" s="69"/>
      <c r="Q42" s="70"/>
    </row>
    <row r="43" spans="2:17" x14ac:dyDescent="0.3">
      <c r="B43" s="25">
        <v>36</v>
      </c>
      <c r="C43" s="14">
        <f t="shared" si="9"/>
        <v>35</v>
      </c>
      <c r="D43" s="88">
        <f t="shared" si="10"/>
        <v>0</v>
      </c>
      <c r="E43" s="86">
        <f t="shared" si="11"/>
        <v>0</v>
      </c>
      <c r="F43" s="86">
        <f t="shared" si="12"/>
        <v>0</v>
      </c>
      <c r="G43" s="283">
        <f t="shared" si="6"/>
        <v>0</v>
      </c>
      <c r="H43" s="275"/>
      <c r="I43" s="284">
        <f>fbreedrate*IF(AND(C43&gt;='Mit-SumHabPrt'!$C$4, C43&lt;'Mit-SumHabPrt'!$C$5),'Mit-SumHabPrt'!$C$16,0)</f>
        <v>0</v>
      </c>
      <c r="J43" s="285">
        <f>IF(AND(C43&gt;='Mit-WinHabPrt'!$C$4,C43&lt;'Mit-WinHabPrt'!$C$5),'Mit-WinHabPrt'!$C$20/('Mit-WinHabPrt'!$C$5-'Mit-WinHabPrt'!$C$4),0)</f>
        <v>0</v>
      </c>
      <c r="K43" s="286">
        <f>fbreedrate*IF(AND(C43&gt;='Mit-SumHabRst'!$C$4,C43&lt;'Mit-SumHabRst'!$C$5),VLOOKUP(C43,'Mit-SumHabRst'!$P$35:$S$134,4),0)</f>
        <v>0</v>
      </c>
      <c r="L43" s="278">
        <f t="shared" si="13"/>
        <v>0</v>
      </c>
      <c r="M43" s="588">
        <f t="shared" si="14"/>
        <v>0</v>
      </c>
      <c r="N43" s="586">
        <f t="shared" si="15"/>
        <v>0</v>
      </c>
      <c r="O43" s="589">
        <f t="shared" si="7"/>
        <v>0</v>
      </c>
      <c r="P43" s="69"/>
      <c r="Q43" s="70"/>
    </row>
    <row r="44" spans="2:17" ht="18" customHeight="1" x14ac:dyDescent="0.3">
      <c r="B44" s="25">
        <v>37</v>
      </c>
      <c r="C44" s="14">
        <f t="shared" si="9"/>
        <v>36</v>
      </c>
      <c r="D44" s="88">
        <f t="shared" si="10"/>
        <v>0</v>
      </c>
      <c r="E44" s="86">
        <f t="shared" si="11"/>
        <v>0</v>
      </c>
      <c r="F44" s="86">
        <f t="shared" si="12"/>
        <v>0</v>
      </c>
      <c r="G44" s="283">
        <f t="shared" si="6"/>
        <v>0</v>
      </c>
      <c r="H44" s="275"/>
      <c r="I44" s="284">
        <f>fbreedrate*IF(AND(C44&gt;='Mit-SumHabPrt'!$C$4, C44&lt;'Mit-SumHabPrt'!$C$5),'Mit-SumHabPrt'!$C$16,0)</f>
        <v>0</v>
      </c>
      <c r="J44" s="285">
        <f>IF(AND(C44&gt;='Mit-WinHabPrt'!$C$4,C44&lt;'Mit-WinHabPrt'!$C$5),'Mit-WinHabPrt'!$C$20/('Mit-WinHabPrt'!$C$5-'Mit-WinHabPrt'!$C$4),0)</f>
        <v>0</v>
      </c>
      <c r="K44" s="286">
        <f>fbreedrate*IF(AND(C44&gt;='Mit-SumHabRst'!$C$4,C44&lt;'Mit-SumHabRst'!$C$5),VLOOKUP(C44,'Mit-SumHabRst'!$P$35:$S$134,4),0)</f>
        <v>0</v>
      </c>
      <c r="L44" s="278">
        <f t="shared" si="13"/>
        <v>0</v>
      </c>
      <c r="M44" s="588">
        <f t="shared" si="14"/>
        <v>0</v>
      </c>
      <c r="N44" s="586">
        <f t="shared" si="15"/>
        <v>0</v>
      </c>
      <c r="O44" s="589">
        <f t="shared" si="7"/>
        <v>0</v>
      </c>
      <c r="P44" s="69"/>
      <c r="Q44" s="70"/>
    </row>
    <row r="45" spans="2:17" x14ac:dyDescent="0.3">
      <c r="B45" s="25">
        <v>38</v>
      </c>
      <c r="C45" s="14">
        <f t="shared" si="9"/>
        <v>37</v>
      </c>
      <c r="D45" s="88">
        <f t="shared" si="10"/>
        <v>0</v>
      </c>
      <c r="E45" s="86">
        <f t="shared" si="11"/>
        <v>0</v>
      </c>
      <c r="F45" s="86">
        <f t="shared" si="12"/>
        <v>0</v>
      </c>
      <c r="G45" s="283">
        <f t="shared" si="6"/>
        <v>0</v>
      </c>
      <c r="H45" s="275"/>
      <c r="I45" s="284">
        <f>fbreedrate*IF(AND(C45&gt;='Mit-SumHabPrt'!$C$4, C45&lt;'Mit-SumHabPrt'!$C$5),'Mit-SumHabPrt'!$C$16,0)</f>
        <v>0</v>
      </c>
      <c r="J45" s="285">
        <f>IF(AND(C45&gt;='Mit-WinHabPrt'!$C$4,C45&lt;'Mit-WinHabPrt'!$C$5),'Mit-WinHabPrt'!$C$20/('Mit-WinHabPrt'!$C$5-'Mit-WinHabPrt'!$C$4),0)</f>
        <v>0</v>
      </c>
      <c r="K45" s="286">
        <f>fbreedrate*IF(AND(C45&gt;='Mit-SumHabRst'!$C$4,C45&lt;'Mit-SumHabRst'!$C$5),VLOOKUP(C45,'Mit-SumHabRst'!$P$35:$S$134,4),0)</f>
        <v>0</v>
      </c>
      <c r="L45" s="278">
        <f t="shared" si="13"/>
        <v>0</v>
      </c>
      <c r="M45" s="588">
        <f t="shared" si="14"/>
        <v>0</v>
      </c>
      <c r="N45" s="586">
        <f t="shared" si="15"/>
        <v>0</v>
      </c>
      <c r="O45" s="589">
        <f t="shared" si="7"/>
        <v>0</v>
      </c>
      <c r="P45" s="69"/>
      <c r="Q45" s="70"/>
    </row>
    <row r="46" spans="2:17" x14ac:dyDescent="0.3">
      <c r="B46" s="25">
        <v>39</v>
      </c>
      <c r="C46" s="14">
        <f t="shared" si="9"/>
        <v>38</v>
      </c>
      <c r="D46" s="88">
        <f t="shared" si="10"/>
        <v>0</v>
      </c>
      <c r="E46" s="86">
        <f t="shared" si="11"/>
        <v>0</v>
      </c>
      <c r="F46" s="86">
        <f t="shared" si="12"/>
        <v>0</v>
      </c>
      <c r="G46" s="283">
        <f t="shared" si="6"/>
        <v>0</v>
      </c>
      <c r="H46" s="275"/>
      <c r="I46" s="284">
        <f>fbreedrate*IF(AND(C46&gt;='Mit-SumHabPrt'!$C$4, C46&lt;'Mit-SumHabPrt'!$C$5),'Mit-SumHabPrt'!$C$16,0)</f>
        <v>0</v>
      </c>
      <c r="J46" s="285">
        <f>IF(AND(C46&gt;='Mit-WinHabPrt'!$C$4,C46&lt;'Mit-WinHabPrt'!$C$5),'Mit-WinHabPrt'!$C$20/('Mit-WinHabPrt'!$C$5-'Mit-WinHabPrt'!$C$4),0)</f>
        <v>0</v>
      </c>
      <c r="K46" s="286">
        <f>fbreedrate*IF(AND(C46&gt;='Mit-SumHabRst'!$C$4,C46&lt;'Mit-SumHabRst'!$C$5),VLOOKUP(C46,'Mit-SumHabRst'!$P$35:$S$134,4),0)</f>
        <v>0</v>
      </c>
      <c r="L46" s="278">
        <f t="shared" si="13"/>
        <v>0</v>
      </c>
      <c r="M46" s="588">
        <f t="shared" si="14"/>
        <v>0</v>
      </c>
      <c r="N46" s="586">
        <f t="shared" si="15"/>
        <v>0</v>
      </c>
      <c r="O46" s="589">
        <f t="shared" si="7"/>
        <v>0</v>
      </c>
      <c r="P46" s="69"/>
      <c r="Q46" s="70"/>
    </row>
    <row r="47" spans="2:17" x14ac:dyDescent="0.3">
      <c r="B47" s="25">
        <v>40</v>
      </c>
      <c r="C47" s="14">
        <f t="shared" si="9"/>
        <v>39</v>
      </c>
      <c r="D47" s="88">
        <f t="shared" si="10"/>
        <v>0</v>
      </c>
      <c r="E47" s="86">
        <f t="shared" si="11"/>
        <v>0</v>
      </c>
      <c r="F47" s="86">
        <f t="shared" si="12"/>
        <v>0</v>
      </c>
      <c r="G47" s="283">
        <f t="shared" si="6"/>
        <v>0</v>
      </c>
      <c r="H47" s="275"/>
      <c r="I47" s="284">
        <f>fbreedrate*IF(AND(C47&gt;='Mit-SumHabPrt'!$C$4, C47&lt;'Mit-SumHabPrt'!$C$5),'Mit-SumHabPrt'!$C$16,0)</f>
        <v>0</v>
      </c>
      <c r="J47" s="285">
        <f>IF(AND(C47&gt;='Mit-WinHabPrt'!$C$4,C47&lt;'Mit-WinHabPrt'!$C$5),'Mit-WinHabPrt'!$C$20/('Mit-WinHabPrt'!$C$5-'Mit-WinHabPrt'!$C$4),0)</f>
        <v>0</v>
      </c>
      <c r="K47" s="286">
        <f>fbreedrate*IF(AND(C47&gt;='Mit-SumHabRst'!$C$4,C47&lt;'Mit-SumHabRst'!$C$5),VLOOKUP(C47,'Mit-SumHabRst'!$P$35:$S$134,4),0)</f>
        <v>0</v>
      </c>
      <c r="L47" s="278">
        <f t="shared" si="13"/>
        <v>0</v>
      </c>
      <c r="M47" s="588">
        <f t="shared" si="14"/>
        <v>0</v>
      </c>
      <c r="N47" s="586">
        <f t="shared" si="15"/>
        <v>0</v>
      </c>
      <c r="O47" s="589">
        <f t="shared" si="7"/>
        <v>0</v>
      </c>
      <c r="P47" s="69"/>
      <c r="Q47" s="70"/>
    </row>
    <row r="48" spans="2:17" x14ac:dyDescent="0.3">
      <c r="B48" s="25">
        <v>41</v>
      </c>
      <c r="C48" s="14">
        <f t="shared" si="9"/>
        <v>40</v>
      </c>
      <c r="D48" s="88">
        <f t="shared" si="10"/>
        <v>0</v>
      </c>
      <c r="E48" s="86">
        <f t="shared" si="11"/>
        <v>0</v>
      </c>
      <c r="F48" s="86">
        <f t="shared" si="12"/>
        <v>0</v>
      </c>
      <c r="G48" s="283">
        <f t="shared" si="6"/>
        <v>0</v>
      </c>
      <c r="H48" s="275"/>
      <c r="I48" s="284">
        <f>fbreedrate*IF(AND(C48&gt;='Mit-SumHabPrt'!$C$4, C48&lt;'Mit-SumHabPrt'!$C$5),'Mit-SumHabPrt'!$C$16,0)</f>
        <v>0</v>
      </c>
      <c r="J48" s="285">
        <f>IF(AND(C48&gt;='Mit-WinHabPrt'!$C$4,C48&lt;'Mit-WinHabPrt'!$C$5),'Mit-WinHabPrt'!$C$20/('Mit-WinHabPrt'!$C$5-'Mit-WinHabPrt'!$C$4),0)</f>
        <v>0</v>
      </c>
      <c r="K48" s="286">
        <f>fbreedrate*IF(AND(C48&gt;='Mit-SumHabRst'!$C$4,C48&lt;'Mit-SumHabRst'!$C$5),VLOOKUP(C48,'Mit-SumHabRst'!$P$35:$S$134,4),0)</f>
        <v>0</v>
      </c>
      <c r="L48" s="278">
        <f t="shared" si="13"/>
        <v>0</v>
      </c>
      <c r="M48" s="588">
        <f t="shared" si="14"/>
        <v>0</v>
      </c>
      <c r="N48" s="586">
        <f t="shared" si="15"/>
        <v>0</v>
      </c>
      <c r="O48" s="589">
        <f t="shared" si="7"/>
        <v>0</v>
      </c>
      <c r="P48" s="69"/>
      <c r="Q48" s="70"/>
    </row>
    <row r="49" spans="2:17" x14ac:dyDescent="0.3">
      <c r="B49" s="25">
        <v>42</v>
      </c>
      <c r="C49" s="14">
        <f t="shared" si="9"/>
        <v>41</v>
      </c>
      <c r="D49" s="88">
        <f t="shared" si="10"/>
        <v>0</v>
      </c>
      <c r="E49" s="86">
        <f t="shared" si="11"/>
        <v>0</v>
      </c>
      <c r="F49" s="86">
        <f t="shared" si="12"/>
        <v>0</v>
      </c>
      <c r="G49" s="283">
        <f t="shared" si="6"/>
        <v>0</v>
      </c>
      <c r="H49" s="275"/>
      <c r="I49" s="284">
        <f>fbreedrate*IF(AND(C49&gt;='Mit-SumHabPrt'!$C$4, C49&lt;'Mit-SumHabPrt'!$C$5),'Mit-SumHabPrt'!$C$16,0)</f>
        <v>0</v>
      </c>
      <c r="J49" s="285">
        <f>IF(AND(C49&gt;='Mit-WinHabPrt'!$C$4,C49&lt;'Mit-WinHabPrt'!$C$5),'Mit-WinHabPrt'!$C$20/('Mit-WinHabPrt'!$C$5-'Mit-WinHabPrt'!$C$4),0)</f>
        <v>0</v>
      </c>
      <c r="K49" s="286">
        <f>fbreedrate*IF(AND(C49&gt;='Mit-SumHabRst'!$C$4,C49&lt;'Mit-SumHabRst'!$C$5),VLOOKUP(C49,'Mit-SumHabRst'!$P$35:$S$134,4),0)</f>
        <v>0</v>
      </c>
      <c r="L49" s="278">
        <f t="shared" si="13"/>
        <v>0</v>
      </c>
      <c r="M49" s="588">
        <f t="shared" si="14"/>
        <v>0</v>
      </c>
      <c r="N49" s="586">
        <f t="shared" si="15"/>
        <v>0</v>
      </c>
      <c r="O49" s="589">
        <f t="shared" si="7"/>
        <v>0</v>
      </c>
      <c r="P49" s="69"/>
      <c r="Q49" s="70"/>
    </row>
    <row r="50" spans="2:17" x14ac:dyDescent="0.3">
      <c r="B50" s="25">
        <v>43</v>
      </c>
      <c r="C50" s="14">
        <f t="shared" si="9"/>
        <v>42</v>
      </c>
      <c r="D50" s="88">
        <f t="shared" si="10"/>
        <v>0</v>
      </c>
      <c r="E50" s="86">
        <f t="shared" si="11"/>
        <v>0</v>
      </c>
      <c r="F50" s="86">
        <f t="shared" si="12"/>
        <v>0</v>
      </c>
      <c r="G50" s="283">
        <f t="shared" si="6"/>
        <v>0</v>
      </c>
      <c r="H50" s="275"/>
      <c r="I50" s="284">
        <f>fbreedrate*IF(AND(C50&gt;='Mit-SumHabPrt'!$C$4, C50&lt;'Mit-SumHabPrt'!$C$5),'Mit-SumHabPrt'!$C$16,0)</f>
        <v>0</v>
      </c>
      <c r="J50" s="285">
        <f>IF(AND(C50&gt;='Mit-WinHabPrt'!$C$4,C50&lt;'Mit-WinHabPrt'!$C$5),'Mit-WinHabPrt'!$C$20/('Mit-WinHabPrt'!$C$5-'Mit-WinHabPrt'!$C$4),0)</f>
        <v>0</v>
      </c>
      <c r="K50" s="286">
        <f>fbreedrate*IF(AND(C50&gt;='Mit-SumHabRst'!$C$4,C50&lt;'Mit-SumHabRst'!$C$5),VLOOKUP(C50,'Mit-SumHabRst'!$P$35:$S$134,4),0)</f>
        <v>0</v>
      </c>
      <c r="L50" s="278">
        <f t="shared" si="13"/>
        <v>0</v>
      </c>
      <c r="M50" s="588">
        <f t="shared" si="14"/>
        <v>0</v>
      </c>
      <c r="N50" s="586">
        <f t="shared" si="15"/>
        <v>0</v>
      </c>
      <c r="O50" s="589">
        <f t="shared" si="7"/>
        <v>0</v>
      </c>
      <c r="P50" s="69"/>
      <c r="Q50" s="70"/>
    </row>
    <row r="51" spans="2:17" x14ac:dyDescent="0.3">
      <c r="B51" s="25">
        <v>44</v>
      </c>
      <c r="C51" s="14">
        <f t="shared" si="9"/>
        <v>43</v>
      </c>
      <c r="D51" s="88">
        <f t="shared" si="10"/>
        <v>0</v>
      </c>
      <c r="E51" s="86">
        <f t="shared" si="11"/>
        <v>0</v>
      </c>
      <c r="F51" s="86">
        <f t="shared" si="12"/>
        <v>0</v>
      </c>
      <c r="G51" s="283">
        <f t="shared" si="6"/>
        <v>0</v>
      </c>
      <c r="H51" s="275"/>
      <c r="I51" s="284">
        <f>fbreedrate*IF(AND(C51&gt;='Mit-SumHabPrt'!$C$4, C51&lt;'Mit-SumHabPrt'!$C$5),'Mit-SumHabPrt'!$C$16,0)</f>
        <v>0</v>
      </c>
      <c r="J51" s="285">
        <f>IF(AND(C51&gt;='Mit-WinHabPrt'!$C$4,C51&lt;'Mit-WinHabPrt'!$C$5),'Mit-WinHabPrt'!$C$20/('Mit-WinHabPrt'!$C$5-'Mit-WinHabPrt'!$C$4),0)</f>
        <v>0</v>
      </c>
      <c r="K51" s="286">
        <f>fbreedrate*IF(AND(C51&gt;='Mit-SumHabRst'!$C$4,C51&lt;'Mit-SumHabRst'!$C$5),VLOOKUP(C51,'Mit-SumHabRst'!$P$35:$S$134,4),0)</f>
        <v>0</v>
      </c>
      <c r="L51" s="278">
        <f t="shared" si="13"/>
        <v>0</v>
      </c>
      <c r="M51" s="588">
        <f t="shared" si="14"/>
        <v>0</v>
      </c>
      <c r="N51" s="586">
        <f t="shared" si="15"/>
        <v>0</v>
      </c>
      <c r="O51" s="589">
        <f t="shared" si="7"/>
        <v>0</v>
      </c>
      <c r="P51" s="69"/>
      <c r="Q51" s="70"/>
    </row>
    <row r="52" spans="2:17" x14ac:dyDescent="0.3">
      <c r="B52" s="25">
        <v>45</v>
      </c>
      <c r="C52" s="14">
        <f t="shared" si="9"/>
        <v>44</v>
      </c>
      <c r="D52" s="88">
        <f t="shared" si="10"/>
        <v>0</v>
      </c>
      <c r="E52" s="86">
        <f t="shared" si="11"/>
        <v>0</v>
      </c>
      <c r="F52" s="86">
        <f t="shared" si="12"/>
        <v>0</v>
      </c>
      <c r="G52" s="283">
        <f t="shared" si="6"/>
        <v>0</v>
      </c>
      <c r="H52" s="275"/>
      <c r="I52" s="284">
        <f>fbreedrate*IF(AND(C52&gt;='Mit-SumHabPrt'!$C$4, C52&lt;'Mit-SumHabPrt'!$C$5),'Mit-SumHabPrt'!$C$16,0)</f>
        <v>0</v>
      </c>
      <c r="J52" s="285">
        <f>IF(AND(C52&gt;='Mit-WinHabPrt'!$C$4,C52&lt;'Mit-WinHabPrt'!$C$5),'Mit-WinHabPrt'!$C$20/('Mit-WinHabPrt'!$C$5-'Mit-WinHabPrt'!$C$4),0)</f>
        <v>0</v>
      </c>
      <c r="K52" s="286">
        <f>fbreedrate*IF(AND(C52&gt;='Mit-SumHabRst'!$C$4,C52&lt;'Mit-SumHabRst'!$C$5),VLOOKUP(C52,'Mit-SumHabRst'!$P$35:$S$134,4),0)</f>
        <v>0</v>
      </c>
      <c r="L52" s="278">
        <f t="shared" si="13"/>
        <v>0</v>
      </c>
      <c r="M52" s="588">
        <f t="shared" si="14"/>
        <v>0</v>
      </c>
      <c r="N52" s="586">
        <f t="shared" si="15"/>
        <v>0</v>
      </c>
      <c r="O52" s="589">
        <f t="shared" si="7"/>
        <v>0</v>
      </c>
      <c r="P52" s="69"/>
      <c r="Q52" s="70"/>
    </row>
    <row r="53" spans="2:17" x14ac:dyDescent="0.3">
      <c r="B53" s="25">
        <v>46</v>
      </c>
      <c r="C53" s="14">
        <f t="shared" si="9"/>
        <v>45</v>
      </c>
      <c r="D53" s="88">
        <f t="shared" si="10"/>
        <v>0</v>
      </c>
      <c r="E53" s="86">
        <f t="shared" si="11"/>
        <v>0</v>
      </c>
      <c r="F53" s="86">
        <f t="shared" si="12"/>
        <v>0</v>
      </c>
      <c r="G53" s="283">
        <f t="shared" si="6"/>
        <v>0</v>
      </c>
      <c r="H53" s="275"/>
      <c r="I53" s="284">
        <f>fbreedrate*IF(AND(C53&gt;='Mit-SumHabPrt'!$C$4, C53&lt;'Mit-SumHabPrt'!$C$5),'Mit-SumHabPrt'!$C$16,0)</f>
        <v>0</v>
      </c>
      <c r="J53" s="285">
        <f>IF(AND(C53&gt;='Mit-WinHabPrt'!$C$4,C53&lt;'Mit-WinHabPrt'!$C$5),'Mit-WinHabPrt'!$C$20/('Mit-WinHabPrt'!$C$5-'Mit-WinHabPrt'!$C$4),0)</f>
        <v>0</v>
      </c>
      <c r="K53" s="286">
        <f>fbreedrate*IF(AND(C53&gt;='Mit-SumHabRst'!$C$4,C53&lt;'Mit-SumHabRst'!$C$5),VLOOKUP(C53,'Mit-SumHabRst'!$P$35:$S$134,4),0)</f>
        <v>0</v>
      </c>
      <c r="L53" s="278">
        <f t="shared" si="13"/>
        <v>0</v>
      </c>
      <c r="M53" s="588">
        <f t="shared" si="14"/>
        <v>0</v>
      </c>
      <c r="N53" s="586">
        <f t="shared" si="15"/>
        <v>0</v>
      </c>
      <c r="O53" s="589">
        <f t="shared" si="7"/>
        <v>0</v>
      </c>
      <c r="P53" s="69"/>
      <c r="Q53" s="70"/>
    </row>
    <row r="54" spans="2:17" x14ac:dyDescent="0.3">
      <c r="B54" s="25">
        <v>47</v>
      </c>
      <c r="C54" s="14">
        <f t="shared" si="9"/>
        <v>46</v>
      </c>
      <c r="D54" s="88">
        <f t="shared" si="10"/>
        <v>0</v>
      </c>
      <c r="E54" s="86">
        <f t="shared" si="11"/>
        <v>0</v>
      </c>
      <c r="F54" s="86">
        <f t="shared" si="12"/>
        <v>0</v>
      </c>
      <c r="G54" s="283">
        <f t="shared" si="6"/>
        <v>0</v>
      </c>
      <c r="H54" s="275"/>
      <c r="I54" s="284">
        <f>fbreedrate*IF(AND(C54&gt;='Mit-SumHabPrt'!$C$4, C54&lt;'Mit-SumHabPrt'!$C$5),'Mit-SumHabPrt'!$C$16,0)</f>
        <v>0</v>
      </c>
      <c r="J54" s="285">
        <f>IF(AND(C54&gt;='Mit-WinHabPrt'!$C$4,C54&lt;'Mit-WinHabPrt'!$C$5),'Mit-WinHabPrt'!$C$20/('Mit-WinHabPrt'!$C$5-'Mit-WinHabPrt'!$C$4),0)</f>
        <v>0</v>
      </c>
      <c r="K54" s="286">
        <f>fbreedrate*IF(AND(C54&gt;='Mit-SumHabRst'!$C$4,C54&lt;'Mit-SumHabRst'!$C$5),VLOOKUP(C54,'Mit-SumHabRst'!$P$35:$S$134,4),0)</f>
        <v>0</v>
      </c>
      <c r="L54" s="278">
        <f t="shared" si="13"/>
        <v>0</v>
      </c>
      <c r="M54" s="588">
        <f t="shared" si="14"/>
        <v>0</v>
      </c>
      <c r="N54" s="586">
        <f t="shared" si="15"/>
        <v>0</v>
      </c>
      <c r="O54" s="589">
        <f t="shared" si="7"/>
        <v>0</v>
      </c>
      <c r="P54" s="69"/>
      <c r="Q54" s="70"/>
    </row>
    <row r="55" spans="2:17" x14ac:dyDescent="0.3">
      <c r="B55" s="25">
        <v>48</v>
      </c>
      <c r="C55" s="14">
        <f t="shared" si="9"/>
        <v>47</v>
      </c>
      <c r="D55" s="88">
        <f t="shared" si="10"/>
        <v>0</v>
      </c>
      <c r="E55" s="86">
        <f t="shared" si="11"/>
        <v>0</v>
      </c>
      <c r="F55" s="86">
        <f t="shared" si="12"/>
        <v>0</v>
      </c>
      <c r="G55" s="283">
        <f t="shared" si="6"/>
        <v>0</v>
      </c>
      <c r="H55" s="275"/>
      <c r="I55" s="284">
        <f>fbreedrate*IF(AND(C55&gt;='Mit-SumHabPrt'!$C$4, C55&lt;'Mit-SumHabPrt'!$C$5),'Mit-SumHabPrt'!$C$16,0)</f>
        <v>0</v>
      </c>
      <c r="J55" s="285">
        <f>IF(AND(C55&gt;='Mit-WinHabPrt'!$C$4,C55&lt;'Mit-WinHabPrt'!$C$5),'Mit-WinHabPrt'!$C$20/('Mit-WinHabPrt'!$C$5-'Mit-WinHabPrt'!$C$4),0)</f>
        <v>0</v>
      </c>
      <c r="K55" s="286">
        <f>fbreedrate*IF(AND(C55&gt;='Mit-SumHabRst'!$C$4,C55&lt;'Mit-SumHabRst'!$C$5),VLOOKUP(C55,'Mit-SumHabRst'!$P$35:$S$134,4),0)</f>
        <v>0</v>
      </c>
      <c r="L55" s="278">
        <f t="shared" si="13"/>
        <v>0</v>
      </c>
      <c r="M55" s="588">
        <f t="shared" si="14"/>
        <v>0</v>
      </c>
      <c r="N55" s="586">
        <f t="shared" si="15"/>
        <v>0</v>
      </c>
      <c r="O55" s="589">
        <f t="shared" si="7"/>
        <v>0</v>
      </c>
      <c r="P55" s="69"/>
      <c r="Q55" s="70"/>
    </row>
    <row r="56" spans="2:17" x14ac:dyDescent="0.3">
      <c r="B56" s="25">
        <v>49</v>
      </c>
      <c r="C56" s="14">
        <f t="shared" si="9"/>
        <v>48</v>
      </c>
      <c r="D56" s="88">
        <f t="shared" si="10"/>
        <v>0</v>
      </c>
      <c r="E56" s="86">
        <f t="shared" si="11"/>
        <v>0</v>
      </c>
      <c r="F56" s="86">
        <f t="shared" si="12"/>
        <v>0</v>
      </c>
      <c r="G56" s="283">
        <f t="shared" si="6"/>
        <v>0</v>
      </c>
      <c r="H56" s="275"/>
      <c r="I56" s="284">
        <f>fbreedrate*IF(AND(C56&gt;='Mit-SumHabPrt'!$C$4, C56&lt;'Mit-SumHabPrt'!$C$5),'Mit-SumHabPrt'!$C$16,0)</f>
        <v>0</v>
      </c>
      <c r="J56" s="285">
        <f>IF(AND(C56&gt;='Mit-WinHabPrt'!$C$4,C56&lt;'Mit-WinHabPrt'!$C$5),'Mit-WinHabPrt'!$C$20/('Mit-WinHabPrt'!$C$5-'Mit-WinHabPrt'!$C$4),0)</f>
        <v>0</v>
      </c>
      <c r="K56" s="286">
        <f>fbreedrate*IF(AND(C56&gt;='Mit-SumHabRst'!$C$4,C56&lt;'Mit-SumHabRst'!$C$5),VLOOKUP(C56,'Mit-SumHabRst'!$P$35:$S$134,4),0)</f>
        <v>0</v>
      </c>
      <c r="L56" s="278">
        <f t="shared" si="13"/>
        <v>0</v>
      </c>
      <c r="M56" s="588">
        <f t="shared" si="14"/>
        <v>0</v>
      </c>
      <c r="N56" s="586">
        <f t="shared" si="15"/>
        <v>0</v>
      </c>
      <c r="O56" s="589">
        <f t="shared" si="7"/>
        <v>0</v>
      </c>
      <c r="P56" s="69"/>
      <c r="Q56" s="70"/>
    </row>
    <row r="57" spans="2:17" x14ac:dyDescent="0.3">
      <c r="B57" s="25">
        <v>50</v>
      </c>
      <c r="C57" s="14">
        <f t="shared" si="9"/>
        <v>49</v>
      </c>
      <c r="D57" s="88">
        <f t="shared" si="10"/>
        <v>0</v>
      </c>
      <c r="E57" s="86">
        <f t="shared" si="11"/>
        <v>0</v>
      </c>
      <c r="F57" s="86">
        <f t="shared" si="12"/>
        <v>0</v>
      </c>
      <c r="G57" s="283">
        <f t="shared" si="6"/>
        <v>0</v>
      </c>
      <c r="H57" s="275"/>
      <c r="I57" s="284">
        <f>fbreedrate*IF(AND(C57&gt;='Mit-SumHabPrt'!$C$4, C57&lt;'Mit-SumHabPrt'!$C$5),'Mit-SumHabPrt'!$C$16,0)</f>
        <v>0</v>
      </c>
      <c r="J57" s="285">
        <f>IF(AND(C57&gt;='Mit-WinHabPrt'!$C$4,C57&lt;'Mit-WinHabPrt'!$C$5),'Mit-WinHabPrt'!$C$20/('Mit-WinHabPrt'!$C$5-'Mit-WinHabPrt'!$C$4),0)</f>
        <v>0</v>
      </c>
      <c r="K57" s="286">
        <f>fbreedrate*IF(AND(C57&gt;='Mit-SumHabRst'!$C$4,C57&lt;'Mit-SumHabRst'!$C$5),VLOOKUP(C57,'Mit-SumHabRst'!$P$35:$S$134,4),0)</f>
        <v>0</v>
      </c>
      <c r="L57" s="278">
        <f t="shared" si="13"/>
        <v>0</v>
      </c>
      <c r="M57" s="588">
        <f t="shared" si="14"/>
        <v>0</v>
      </c>
      <c r="N57" s="586">
        <f t="shared" si="15"/>
        <v>0</v>
      </c>
      <c r="O57" s="589">
        <f t="shared" si="7"/>
        <v>0</v>
      </c>
      <c r="P57" s="69"/>
      <c r="Q57" s="70"/>
    </row>
    <row r="58" spans="2:17" x14ac:dyDescent="0.3">
      <c r="B58" s="25">
        <v>51</v>
      </c>
      <c r="C58" s="14">
        <f t="shared" si="9"/>
        <v>50</v>
      </c>
      <c r="D58" s="88">
        <f t="shared" si="10"/>
        <v>0</v>
      </c>
      <c r="E58" s="86">
        <f t="shared" si="11"/>
        <v>0</v>
      </c>
      <c r="F58" s="86">
        <f t="shared" si="12"/>
        <v>0</v>
      </c>
      <c r="G58" s="283">
        <f t="shared" si="6"/>
        <v>0</v>
      </c>
      <c r="H58" s="275"/>
      <c r="I58" s="284">
        <f>fbreedrate*IF(AND(C58&gt;='Mit-SumHabPrt'!$C$4, C58&lt;'Mit-SumHabPrt'!$C$5),'Mit-SumHabPrt'!$C$16,0)</f>
        <v>0</v>
      </c>
      <c r="J58" s="285">
        <f>IF(AND(C58&gt;='Mit-WinHabPrt'!$C$4,C58&lt;'Mit-WinHabPrt'!$C$5),'Mit-WinHabPrt'!$C$20/('Mit-WinHabPrt'!$C$5-'Mit-WinHabPrt'!$C$4),0)</f>
        <v>0</v>
      </c>
      <c r="K58" s="286">
        <f>fbreedrate*IF(AND(C58&gt;='Mit-SumHabRst'!$C$4,C58&lt;'Mit-SumHabRst'!$C$5),VLOOKUP(C58,'Mit-SumHabRst'!$P$35:$S$134,4),0)</f>
        <v>0</v>
      </c>
      <c r="L58" s="278">
        <f t="shared" si="13"/>
        <v>0</v>
      </c>
      <c r="M58" s="588">
        <f t="shared" si="14"/>
        <v>0</v>
      </c>
      <c r="N58" s="586">
        <f t="shared" si="15"/>
        <v>0</v>
      </c>
      <c r="O58" s="589">
        <f t="shared" si="7"/>
        <v>0</v>
      </c>
      <c r="P58" s="69"/>
      <c r="Q58" s="70"/>
    </row>
    <row r="59" spans="2:17" x14ac:dyDescent="0.3">
      <c r="B59" s="25">
        <v>52</v>
      </c>
      <c r="C59" s="45">
        <f t="shared" si="9"/>
        <v>51</v>
      </c>
      <c r="D59" s="89">
        <f t="shared" si="10"/>
        <v>0</v>
      </c>
      <c r="E59" s="86">
        <f t="shared" si="11"/>
        <v>0</v>
      </c>
      <c r="F59" s="86">
        <f t="shared" si="12"/>
        <v>0</v>
      </c>
      <c r="G59" s="283">
        <f t="shared" si="6"/>
        <v>0</v>
      </c>
      <c r="H59" s="275"/>
      <c r="I59" s="380">
        <f>fbreedrate*IF(AND(C59&gt;='Mit-SumHabPrt'!$C$4, C59&lt;'Mit-SumHabPrt'!$C$5),'Mit-SumHabPrt'!$C$16,0)</f>
        <v>0</v>
      </c>
      <c r="J59" s="381">
        <f>IF(AND(C59&gt;='Mit-WinHabPrt'!$C$4,C59&lt;'Mit-WinHabPrt'!$C$5),'Mit-WinHabPrt'!$C$20/('Mit-WinHabPrt'!$C$5-'Mit-WinHabPrt'!$C$4),0)</f>
        <v>0</v>
      </c>
      <c r="K59" s="382">
        <f>fbreedrate*IF(AND(C59&gt;='Mit-SumHabRst'!$C$4,C59&lt;'Mit-SumHabRst'!$C$5),VLOOKUP(C59,'Mit-SumHabRst'!$P$35:$S$134,4),0)</f>
        <v>0</v>
      </c>
      <c r="L59" s="583">
        <f t="shared" si="13"/>
        <v>0</v>
      </c>
      <c r="M59" s="590">
        <f t="shared" si="14"/>
        <v>0</v>
      </c>
      <c r="N59" s="591">
        <f t="shared" si="15"/>
        <v>0</v>
      </c>
      <c r="O59" s="592">
        <f t="shared" si="7"/>
        <v>0</v>
      </c>
      <c r="P59" s="69"/>
      <c r="Q59" s="70"/>
    </row>
    <row r="60" spans="2:17" ht="16.2" thickBot="1" x14ac:dyDescent="0.35">
      <c r="C60" s="15"/>
      <c r="D60" s="90">
        <f>SUM(D8:D59)</f>
        <v>0</v>
      </c>
      <c r="E60" s="288"/>
      <c r="F60" s="289"/>
      <c r="G60" s="290">
        <f>SUM(G8:G59)</f>
        <v>0</v>
      </c>
      <c r="H60" s="276"/>
      <c r="I60" s="291">
        <f t="shared" ref="I60:J60" si="16">SUM(I8:I59)</f>
        <v>0</v>
      </c>
      <c r="J60" s="287">
        <f t="shared" si="16"/>
        <v>0</v>
      </c>
      <c r="K60" s="287">
        <f>SUM(K8:K59)</f>
        <v>0</v>
      </c>
      <c r="L60" s="379">
        <f>SUM(I60:K60)</f>
        <v>0</v>
      </c>
      <c r="M60" s="593"/>
      <c r="N60" s="594"/>
      <c r="O60" s="595">
        <f>SUM(O8:O59)</f>
        <v>0</v>
      </c>
      <c r="P60" s="270"/>
      <c r="Q60" s="270"/>
    </row>
    <row r="61" spans="2:17" x14ac:dyDescent="0.3">
      <c r="D61" s="12"/>
      <c r="G61" s="48"/>
      <c r="H61" s="277"/>
      <c r="I61" s="277"/>
      <c r="J61" s="273"/>
      <c r="P61" s="146"/>
      <c r="Q61" s="268"/>
    </row>
    <row r="62" spans="2:17" x14ac:dyDescent="0.3">
      <c r="J62" s="273"/>
      <c r="K62" s="13"/>
      <c r="M62" s="596"/>
      <c r="O62" s="596"/>
      <c r="P62" s="146"/>
      <c r="Q62" s="268"/>
    </row>
    <row r="63" spans="2:17" x14ac:dyDescent="0.3">
      <c r="G63" s="21"/>
      <c r="H63" s="277"/>
      <c r="I63" s="277"/>
      <c r="J63" s="273"/>
      <c r="P63" s="146"/>
      <c r="Q63" s="146"/>
    </row>
    <row r="64" spans="2:17" x14ac:dyDescent="0.3">
      <c r="J64" s="273"/>
    </row>
  </sheetData>
  <sheetProtection algorithmName="SHA-512" hashValue="Ngg9wvc3Lk9ibMOfRLcckHd2VrNXTEHkGf9e14iXSu8SKpMDy3nVI7gH+8svPH7ramvyxlEhuhU5A82JzjrdTQ==" saltValue="SNXjyp6jVdh2KaHQrRLawg==" spinCount="100000" sheet="1" objects="1" scenarios="1"/>
  <mergeCells count="3">
    <mergeCell ref="L6:O6"/>
    <mergeCell ref="I6:K6"/>
    <mergeCell ref="D6:G6"/>
  </mergeCells>
  <phoneticPr fontId="0"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R60"/>
  <sheetViews>
    <sheetView zoomScale="98" zoomScaleNormal="98" workbookViewId="0">
      <selection activeCell="I22" sqref="I22"/>
    </sheetView>
  </sheetViews>
  <sheetFormatPr defaultRowHeight="14.4" x14ac:dyDescent="0.3"/>
  <cols>
    <col min="2" max="2" width="31.44140625" customWidth="1"/>
    <col min="3" max="3" width="14.33203125" customWidth="1"/>
    <col min="4" max="4" width="20.6640625" customWidth="1"/>
    <col min="5" max="5" width="12.44140625" customWidth="1"/>
    <col min="6" max="6" width="14.6640625" customWidth="1"/>
    <col min="9" max="9" width="12.5546875" customWidth="1"/>
  </cols>
  <sheetData>
    <row r="1" spans="2:16" ht="18" x14ac:dyDescent="0.35">
      <c r="B1" s="293" t="s">
        <v>169</v>
      </c>
    </row>
    <row r="3" spans="2:16" x14ac:dyDescent="0.3">
      <c r="D3" s="46" t="s">
        <v>92</v>
      </c>
    </row>
    <row r="4" spans="2:16" ht="36.6" x14ac:dyDescent="0.3">
      <c r="D4" s="357" t="s">
        <v>90</v>
      </c>
      <c r="E4" s="63" t="s">
        <v>94</v>
      </c>
      <c r="F4" s="63" t="s">
        <v>95</v>
      </c>
      <c r="I4" s="63"/>
      <c r="J4" s="378" t="s">
        <v>227</v>
      </c>
      <c r="K4" s="378" t="s">
        <v>228</v>
      </c>
    </row>
    <row r="5" spans="2:16" x14ac:dyDescent="0.3">
      <c r="B5" s="6" t="s">
        <v>2</v>
      </c>
      <c r="C5" s="7"/>
      <c r="D5" s="106" t="s">
        <v>93</v>
      </c>
      <c r="E5" s="106" t="s">
        <v>96</v>
      </c>
      <c r="F5" s="106" t="s">
        <v>190</v>
      </c>
      <c r="G5" s="46"/>
      <c r="H5" s="46"/>
      <c r="I5" s="384" t="s">
        <v>225</v>
      </c>
      <c r="J5" s="385">
        <v>4</v>
      </c>
      <c r="K5" s="386">
        <v>6</v>
      </c>
      <c r="L5" s="368"/>
      <c r="M5" s="368" t="s">
        <v>226</v>
      </c>
    </row>
    <row r="6" spans="2:16" x14ac:dyDescent="0.3">
      <c r="B6" s="2" t="s">
        <v>8</v>
      </c>
      <c r="C6" s="8" t="s">
        <v>8</v>
      </c>
      <c r="D6" s="335">
        <v>1.0004</v>
      </c>
      <c r="E6" s="336">
        <v>0.97504999999999997</v>
      </c>
      <c r="F6" s="336">
        <v>1.0251999999999999</v>
      </c>
      <c r="G6" s="154"/>
      <c r="H6" s="46"/>
      <c r="I6" s="376" t="s">
        <v>217</v>
      </c>
      <c r="J6" s="370">
        <f>0.5*(VLOOKUP($D$29,$I$14:$N$16,3,0))*(1-(VLOOKUP($D$29,$I$14:$N$16,6,0))^(J5+1))/(1-(VLOOKUP($D$29,$I$14:$N$16,6,0)))</f>
        <v>1.0573390607533952</v>
      </c>
      <c r="K6" s="371">
        <f>0.5*(VLOOKUP($D$29,$I$14:$N$16,3,0))*(1-(VLOOKUP($D$29,$I$14:$N$16,6,0))^(K5+1))/(1-(VLOOKUP($D$29,$I$14:$N$16,6,0)))</f>
        <v>1.2986953693068803</v>
      </c>
      <c r="L6" s="368"/>
      <c r="M6" s="368" t="s">
        <v>218</v>
      </c>
    </row>
    <row r="7" spans="2:16" x14ac:dyDescent="0.3">
      <c r="B7" s="2" t="s">
        <v>202</v>
      </c>
      <c r="C7" s="8" t="s">
        <v>9</v>
      </c>
      <c r="D7" s="46">
        <v>0.83962000000000003</v>
      </c>
      <c r="E7" s="336">
        <v>0.82178499999999999</v>
      </c>
      <c r="F7" s="336">
        <v>0.85201000000000005</v>
      </c>
      <c r="G7" s="46"/>
      <c r="H7" s="46"/>
      <c r="I7" s="323" t="s">
        <v>219</v>
      </c>
      <c r="J7" s="372">
        <f>0.5*(VLOOKUP($D$29,$I$14:$N$16,4,0))*((VLOOKUP($D$29,$I$14:$N$16,2,0))+(VLOOKUP($D$29,$I$14:$N$16,5,0))*(VLOOKUP($D$29,$I$14:$N$16,3,0))*(1-(VLOOKUP($D$29,$I$14:$N$16,6,0))^K5)/(1-(VLOOKUP($D$29,$I$14:$N$16,6,0))))</f>
        <v>0.50675867332474478</v>
      </c>
      <c r="K7" s="373">
        <f>0.5*(VLOOKUP($D$29,$I$14:$N$16,4,0))*((VLOOKUP($D$29,$I$14:$N$16,2,0))+(VLOOKUP($D$29,$I$14:$N$16,5,0))*(VLOOKUP($D$29,$I$14:$N$16,3,0))*(1-(VLOOKUP($D$29,$I$14:$N$16,6,0))^K5)/(1-(VLOOKUP($D$29,$I$14:$N$16,6,0))))</f>
        <v>0.50675867332474478</v>
      </c>
      <c r="L7" s="368"/>
      <c r="M7" s="368" t="s">
        <v>220</v>
      </c>
    </row>
    <row r="8" spans="2:16" x14ac:dyDescent="0.3">
      <c r="B8" s="2" t="s">
        <v>10</v>
      </c>
      <c r="C8" s="8" t="s">
        <v>11</v>
      </c>
      <c r="D8" s="46">
        <v>0.95889000000000002</v>
      </c>
      <c r="E8" s="336">
        <v>0.95196999999999998</v>
      </c>
      <c r="F8" s="336">
        <v>0.95799999999999996</v>
      </c>
      <c r="G8" s="46"/>
      <c r="H8" s="46"/>
      <c r="I8" s="377" t="s">
        <v>221</v>
      </c>
      <c r="J8" s="374">
        <f>J6*J7</f>
        <v>0.53581573968182228</v>
      </c>
      <c r="K8" s="375">
        <f>K6*K7</f>
        <v>0.65812514240294417</v>
      </c>
      <c r="L8" s="368"/>
      <c r="M8" s="368" t="s">
        <v>222</v>
      </c>
    </row>
    <row r="9" spans="2:16" x14ac:dyDescent="0.3">
      <c r="B9" s="2" t="s">
        <v>12</v>
      </c>
      <c r="C9" s="8" t="s">
        <v>13</v>
      </c>
      <c r="D9" s="46">
        <v>0.88578999999999997</v>
      </c>
      <c r="E9" s="336">
        <v>0.86913499999999999</v>
      </c>
      <c r="F9" s="336">
        <v>0.91249000000000002</v>
      </c>
      <c r="G9" s="46"/>
      <c r="H9" s="46"/>
      <c r="I9" s="146"/>
      <c r="J9" s="369"/>
      <c r="K9" s="369"/>
      <c r="L9" s="146"/>
      <c r="M9" s="146"/>
    </row>
    <row r="10" spans="2:16" x14ac:dyDescent="0.3">
      <c r="B10" s="2" t="s">
        <v>203</v>
      </c>
      <c r="C10" s="8" t="s">
        <v>14</v>
      </c>
      <c r="D10" s="46">
        <v>0.87422999999999995</v>
      </c>
      <c r="E10" s="336">
        <v>0.86650000000000005</v>
      </c>
      <c r="F10" s="336">
        <v>0.88592000000000004</v>
      </c>
      <c r="G10" s="46"/>
      <c r="H10" s="46"/>
      <c r="I10" s="47"/>
      <c r="J10" s="47"/>
      <c r="K10" s="47"/>
    </row>
    <row r="11" spans="2:16" x14ac:dyDescent="0.3">
      <c r="B11" s="2" t="s">
        <v>15</v>
      </c>
      <c r="C11" s="8" t="s">
        <v>16</v>
      </c>
      <c r="D11" s="46">
        <v>0.95355999999999996</v>
      </c>
      <c r="E11" s="336">
        <v>0.94762999999999997</v>
      </c>
      <c r="F11" s="336">
        <v>0.95660000000000001</v>
      </c>
      <c r="G11" s="46"/>
      <c r="H11" s="46"/>
      <c r="I11" s="47"/>
      <c r="J11" s="132">
        <v>2</v>
      </c>
      <c r="K11" s="132">
        <v>3</v>
      </c>
      <c r="L11" s="133">
        <v>4</v>
      </c>
      <c r="M11" s="132">
        <v>5</v>
      </c>
      <c r="N11" s="132">
        <v>6</v>
      </c>
    </row>
    <row r="12" spans="2:16" x14ac:dyDescent="0.3">
      <c r="B12" s="2" t="s">
        <v>17</v>
      </c>
      <c r="C12" s="8" t="s">
        <v>18</v>
      </c>
      <c r="D12" s="46">
        <v>0.75731999999999999</v>
      </c>
      <c r="E12" s="336">
        <v>0.71226999999999996</v>
      </c>
      <c r="F12" s="336">
        <v>0.79381000000000002</v>
      </c>
      <c r="G12" s="46"/>
      <c r="H12" s="46"/>
      <c r="I12" s="110"/>
      <c r="J12" s="630" t="s">
        <v>101</v>
      </c>
      <c r="K12" s="631"/>
      <c r="L12" s="632" t="s">
        <v>102</v>
      </c>
      <c r="M12" s="632"/>
      <c r="N12" s="633"/>
      <c r="P12" t="s">
        <v>179</v>
      </c>
    </row>
    <row r="13" spans="2:16" x14ac:dyDescent="0.3">
      <c r="B13" s="2" t="s">
        <v>204</v>
      </c>
      <c r="C13" s="8" t="s">
        <v>19</v>
      </c>
      <c r="D13" s="46">
        <v>0.83115000000000006</v>
      </c>
      <c r="E13" s="336">
        <v>0.81745500000000004</v>
      </c>
      <c r="F13" s="336">
        <v>0.83987000000000001</v>
      </c>
      <c r="G13" s="46"/>
      <c r="H13" s="46"/>
      <c r="I13" s="111"/>
      <c r="J13" s="123" t="s">
        <v>103</v>
      </c>
      <c r="K13" s="113" t="s">
        <v>104</v>
      </c>
      <c r="L13" s="20" t="s">
        <v>105</v>
      </c>
      <c r="M13" s="112" t="s">
        <v>103</v>
      </c>
      <c r="N13" s="113" t="s">
        <v>106</v>
      </c>
      <c r="P13" s="152" t="s">
        <v>209</v>
      </c>
    </row>
    <row r="14" spans="2:16" x14ac:dyDescent="0.3">
      <c r="B14" s="2" t="s">
        <v>20</v>
      </c>
      <c r="C14" s="8" t="s">
        <v>21</v>
      </c>
      <c r="D14" s="46">
        <v>0.95445000000000002</v>
      </c>
      <c r="E14" s="336">
        <v>0.94996000000000003</v>
      </c>
      <c r="F14" s="336">
        <v>0.95482999999999996</v>
      </c>
      <c r="G14" s="46"/>
      <c r="H14" s="46"/>
      <c r="I14" s="121" t="s">
        <v>98</v>
      </c>
      <c r="J14" s="110">
        <f>D21</f>
        <v>0.1427169184</v>
      </c>
      <c r="K14" s="124">
        <f>D22</f>
        <v>0.60128109139999997</v>
      </c>
      <c r="L14" s="114">
        <f>D24</f>
        <v>0.63586101839999998</v>
      </c>
      <c r="M14" s="114">
        <f>D25</f>
        <v>0.69674506986640505</v>
      </c>
      <c r="N14" s="115">
        <f>D26</f>
        <v>0.87271008919037996</v>
      </c>
      <c r="P14" t="s">
        <v>210</v>
      </c>
    </row>
    <row r="15" spans="2:16" x14ac:dyDescent="0.3">
      <c r="B15" s="2" t="s">
        <v>205</v>
      </c>
      <c r="C15" s="8" t="s">
        <v>22</v>
      </c>
      <c r="D15" s="46">
        <v>0.37687999999999999</v>
      </c>
      <c r="E15" s="336">
        <v>0.37238499999999997</v>
      </c>
      <c r="F15" s="336">
        <v>0.40916000000000002</v>
      </c>
      <c r="G15" s="46"/>
      <c r="H15" s="46"/>
      <c r="I15" s="122" t="s">
        <v>99</v>
      </c>
      <c r="J15" s="116">
        <f>E21</f>
        <v>0.13030495919999999</v>
      </c>
      <c r="K15" s="125">
        <f>E22</f>
        <v>0.56240093910000011</v>
      </c>
      <c r="L15" s="117">
        <f>E24</f>
        <v>0.58533280194999993</v>
      </c>
      <c r="M15" s="117">
        <f>E25</f>
        <v>0.67430391939727508</v>
      </c>
      <c r="N15" s="118">
        <f>E26</f>
        <v>0.85697347993175599</v>
      </c>
    </row>
    <row r="16" spans="2:16" x14ac:dyDescent="0.3">
      <c r="B16" s="2" t="s">
        <v>23</v>
      </c>
      <c r="C16" s="8" t="s">
        <v>24</v>
      </c>
      <c r="D16" s="46">
        <v>0.77710999999999997</v>
      </c>
      <c r="E16" s="336">
        <v>0.75621000000000005</v>
      </c>
      <c r="F16" s="336">
        <v>0.82571000000000006</v>
      </c>
      <c r="G16" s="46"/>
      <c r="H16" s="46"/>
      <c r="I16" s="123" t="s">
        <v>100</v>
      </c>
      <c r="J16" s="111">
        <f>F21</f>
        <v>0.17565647960000003</v>
      </c>
      <c r="K16" s="126">
        <f>F22</f>
        <v>0.66837095950000003</v>
      </c>
      <c r="L16" s="119">
        <f>F24</f>
        <v>0.67633405810000002</v>
      </c>
      <c r="M16" s="119">
        <f>F25</f>
        <v>0.71280720992320001</v>
      </c>
      <c r="N16" s="120">
        <f>F26</f>
        <v>0.87502798212400001</v>
      </c>
    </row>
    <row r="17" spans="2:44" x14ac:dyDescent="0.3">
      <c r="B17" s="2" t="s">
        <v>206</v>
      </c>
      <c r="C17" s="8" t="s">
        <v>25</v>
      </c>
      <c r="D17" s="46">
        <v>0.37868000000000002</v>
      </c>
      <c r="E17" s="336">
        <v>0.34992000000000001</v>
      </c>
      <c r="F17" s="336">
        <v>0.42931000000000002</v>
      </c>
      <c r="G17" s="46"/>
      <c r="H17" s="46"/>
      <c r="I17" s="368"/>
      <c r="J17" s="368"/>
      <c r="K17" s="368"/>
      <c r="L17" s="368"/>
      <c r="M17" s="368"/>
    </row>
    <row r="18" spans="2:44" x14ac:dyDescent="0.3">
      <c r="B18" s="3" t="s">
        <v>26</v>
      </c>
      <c r="C18" s="9" t="s">
        <v>27</v>
      </c>
      <c r="D18" s="46">
        <v>0.77373999999999998</v>
      </c>
      <c r="E18" s="336">
        <v>0.74371000000000009</v>
      </c>
      <c r="F18" s="336">
        <v>0.80945</v>
      </c>
      <c r="G18" s="46"/>
      <c r="H18" s="46"/>
      <c r="I18" s="368"/>
      <c r="J18" s="368"/>
      <c r="K18" s="368"/>
      <c r="L18" s="368"/>
      <c r="M18" s="368"/>
    </row>
    <row r="19" spans="2:44" x14ac:dyDescent="0.3">
      <c r="I19" s="368"/>
      <c r="J19" s="368"/>
      <c r="K19" s="368"/>
      <c r="L19" s="368"/>
      <c r="M19" s="368"/>
    </row>
    <row r="20" spans="2:44" x14ac:dyDescent="0.3">
      <c r="I20" s="368"/>
      <c r="J20" s="368"/>
      <c r="K20" s="368"/>
      <c r="L20" s="368"/>
      <c r="M20" s="368"/>
    </row>
    <row r="21" spans="2:44" x14ac:dyDescent="0.3">
      <c r="B21" t="s">
        <v>207</v>
      </c>
      <c r="C21" s="11" t="s">
        <v>28</v>
      </c>
      <c r="D21" s="10">
        <f>D15*D17</f>
        <v>0.1427169184</v>
      </c>
      <c r="E21" s="47">
        <f t="shared" ref="E21:F21" si="0">E15*E17</f>
        <v>0.13030495919999999</v>
      </c>
      <c r="F21" s="47">
        <f t="shared" si="0"/>
        <v>0.17565647960000003</v>
      </c>
      <c r="I21" s="368"/>
      <c r="J21" s="368"/>
      <c r="K21" s="368"/>
      <c r="L21" s="368"/>
      <c r="M21" s="368"/>
      <c r="S21" s="146"/>
    </row>
    <row r="22" spans="2:44" x14ac:dyDescent="0.3">
      <c r="B22" s="12" t="s">
        <v>29</v>
      </c>
      <c r="C22" s="11" t="s">
        <v>30</v>
      </c>
      <c r="D22" s="10">
        <f>D16*D18</f>
        <v>0.60128109139999997</v>
      </c>
      <c r="E22" s="47">
        <f t="shared" ref="E22:F22" si="1">E16*E18</f>
        <v>0.56240093910000011</v>
      </c>
      <c r="F22" s="47">
        <f t="shared" si="1"/>
        <v>0.66837095950000003</v>
      </c>
    </row>
    <row r="23" spans="2:44" x14ac:dyDescent="0.3">
      <c r="E23" s="46"/>
      <c r="F23" s="46"/>
    </row>
    <row r="24" spans="2:44" x14ac:dyDescent="0.3">
      <c r="B24" t="s">
        <v>31</v>
      </c>
      <c r="C24" s="11" t="s">
        <v>32</v>
      </c>
      <c r="D24" s="10">
        <f>D7*D12</f>
        <v>0.63586101839999998</v>
      </c>
      <c r="E24" s="47">
        <f t="shared" ref="E24:F24" si="2">E7*E12</f>
        <v>0.58533280194999993</v>
      </c>
      <c r="F24" s="47">
        <f t="shared" si="2"/>
        <v>0.67633405810000002</v>
      </c>
    </row>
    <row r="25" spans="2:44" x14ac:dyDescent="0.3">
      <c r="B25" t="s">
        <v>208</v>
      </c>
      <c r="C25" s="11" t="s">
        <v>33</v>
      </c>
      <c r="D25" s="13">
        <f>D10*D13*D8</f>
        <v>0.69674506986640505</v>
      </c>
      <c r="E25" s="13">
        <f t="shared" ref="E25:F25" si="3">E10*E13*E8</f>
        <v>0.67430391939727508</v>
      </c>
      <c r="F25" s="13">
        <f t="shared" si="3"/>
        <v>0.71280720992320001</v>
      </c>
    </row>
    <row r="26" spans="2:44" x14ac:dyDescent="0.3">
      <c r="B26" t="s">
        <v>34</v>
      </c>
      <c r="C26" s="11" t="s">
        <v>35</v>
      </c>
      <c r="D26" s="13">
        <f>D11*D14*D8</f>
        <v>0.87271008919037996</v>
      </c>
      <c r="E26" s="13">
        <f t="shared" ref="E26:F26" si="4">E11*E14*E8</f>
        <v>0.85697347993175599</v>
      </c>
      <c r="F26" s="13">
        <f t="shared" si="4"/>
        <v>0.87502798212400001</v>
      </c>
    </row>
    <row r="27" spans="2:44" x14ac:dyDescent="0.3">
      <c r="C27" s="11"/>
      <c r="E27" s="46"/>
      <c r="F27" s="46"/>
    </row>
    <row r="28" spans="2:44" x14ac:dyDescent="0.3">
      <c r="B28" s="135" t="s">
        <v>137</v>
      </c>
      <c r="C28" s="136"/>
      <c r="D28" s="137" t="s">
        <v>113</v>
      </c>
      <c r="E28" s="23"/>
      <c r="F28" s="23"/>
    </row>
    <row r="29" spans="2:44" x14ac:dyDescent="0.3">
      <c r="B29" s="16" t="s">
        <v>136</v>
      </c>
      <c r="C29" s="134">
        <f>(E33+F34+G35+H36+I37)/2</f>
        <v>1.0573390607533952</v>
      </c>
      <c r="D29" s="138" t="str">
        <f>Impacts!$C$9</f>
        <v>Declining</v>
      </c>
      <c r="E29" s="23"/>
      <c r="F29" s="23"/>
      <c r="AD29" s="108"/>
      <c r="AE29" s="108"/>
      <c r="AF29" s="108"/>
      <c r="AG29" s="108"/>
      <c r="AH29" s="108"/>
      <c r="AI29" s="108"/>
    </row>
    <row r="30" spans="2:44" x14ac:dyDescent="0.3">
      <c r="B30" s="16" t="s">
        <v>138</v>
      </c>
      <c r="C30" s="139">
        <f>SUM(B33:B44)-C29</f>
        <v>0.53581573968182239</v>
      </c>
      <c r="AD30" s="108"/>
      <c r="AE30" s="108"/>
      <c r="AF30" s="108"/>
      <c r="AG30" s="108"/>
      <c r="AH30" s="108"/>
      <c r="AI30" s="108"/>
    </row>
    <row r="31" spans="2:44" x14ac:dyDescent="0.3">
      <c r="B31" s="140"/>
      <c r="C31" s="141"/>
      <c r="D31" s="359" t="s">
        <v>229</v>
      </c>
      <c r="E31" s="142" t="s">
        <v>136</v>
      </c>
      <c r="F31" s="143"/>
      <c r="G31" s="143"/>
      <c r="H31" s="143"/>
      <c r="I31" s="143"/>
      <c r="J31" s="144" t="s">
        <v>138</v>
      </c>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339"/>
    </row>
    <row r="32" spans="2:44" x14ac:dyDescent="0.3">
      <c r="B32" s="17" t="s">
        <v>130</v>
      </c>
      <c r="C32" s="363" t="s">
        <v>44</v>
      </c>
      <c r="D32" s="364" t="s">
        <v>131</v>
      </c>
      <c r="E32" s="365" t="s">
        <v>109</v>
      </c>
      <c r="F32" s="365" t="s">
        <v>110</v>
      </c>
      <c r="G32" s="365" t="s">
        <v>111</v>
      </c>
      <c r="H32" s="365" t="s">
        <v>112</v>
      </c>
      <c r="I32" s="365" t="s">
        <v>148</v>
      </c>
      <c r="J32" s="366" t="s">
        <v>132</v>
      </c>
      <c r="K32" s="366" t="s">
        <v>114</v>
      </c>
      <c r="L32" s="366" t="s">
        <v>115</v>
      </c>
      <c r="M32" s="366" t="s">
        <v>116</v>
      </c>
      <c r="N32" s="366" t="s">
        <v>117</v>
      </c>
      <c r="O32" s="366" t="s">
        <v>195</v>
      </c>
      <c r="P32" s="366" t="s">
        <v>216</v>
      </c>
      <c r="Q32" s="366" t="s">
        <v>133</v>
      </c>
      <c r="R32" s="366" t="s">
        <v>118</v>
      </c>
      <c r="S32" s="366" t="s">
        <v>119</v>
      </c>
      <c r="T32" s="366" t="s">
        <v>120</v>
      </c>
      <c r="U32" s="366" t="s">
        <v>121</v>
      </c>
      <c r="V32" s="366" t="s">
        <v>194</v>
      </c>
      <c r="W32" s="366" t="s">
        <v>215</v>
      </c>
      <c r="X32" s="366" t="s">
        <v>134</v>
      </c>
      <c r="Y32" s="366" t="s">
        <v>122</v>
      </c>
      <c r="Z32" s="366" t="s">
        <v>123</v>
      </c>
      <c r="AA32" s="366" t="s">
        <v>124</v>
      </c>
      <c r="AB32" s="366" t="s">
        <v>125</v>
      </c>
      <c r="AC32" s="366" t="s">
        <v>193</v>
      </c>
      <c r="AD32" s="366" t="s">
        <v>214</v>
      </c>
      <c r="AE32" s="366" t="s">
        <v>135</v>
      </c>
      <c r="AF32" s="366" t="s">
        <v>126</v>
      </c>
      <c r="AG32" s="366" t="s">
        <v>127</v>
      </c>
      <c r="AH32" s="366" t="s">
        <v>128</v>
      </c>
      <c r="AI32" s="366" t="s">
        <v>129</v>
      </c>
      <c r="AJ32" s="366" t="s">
        <v>192</v>
      </c>
      <c r="AK32" s="366" t="s">
        <v>213</v>
      </c>
      <c r="AL32" s="366" t="s">
        <v>149</v>
      </c>
      <c r="AM32" s="366" t="s">
        <v>150</v>
      </c>
      <c r="AN32" s="366" t="s">
        <v>151</v>
      </c>
      <c r="AO32" s="366" t="s">
        <v>152</v>
      </c>
      <c r="AP32" s="366" t="s">
        <v>153</v>
      </c>
      <c r="AQ32" s="366" t="s">
        <v>191</v>
      </c>
      <c r="AR32" s="367" t="s">
        <v>212</v>
      </c>
    </row>
    <row r="33" spans="2:44" x14ac:dyDescent="0.3">
      <c r="B33" s="122">
        <f>E33/2</f>
        <v>0.28120046955000005</v>
      </c>
      <c r="C33" s="146">
        <v>0</v>
      </c>
      <c r="D33" s="146">
        <v>1</v>
      </c>
      <c r="E33" s="147">
        <f>(VLOOKUP($D$29,$I$14:$N$16,3,0))</f>
        <v>0.56240093910000011</v>
      </c>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2"/>
      <c r="AR33" s="322"/>
    </row>
    <row r="34" spans="2:44" x14ac:dyDescent="0.3">
      <c r="B34" s="122">
        <f>(F34+J34/2)/2</f>
        <v>0.25170517327824959</v>
      </c>
      <c r="C34" s="146">
        <v>1</v>
      </c>
      <c r="D34" s="148">
        <f>D33*VLOOKUP($D$29,$I$14:$N$16,6,0)</f>
        <v>0.85697347993175599</v>
      </c>
      <c r="E34" s="148">
        <f>E33*VLOOKUP($D$29,$I$14:$N$16,4,0)</f>
        <v>0.32919171750271431</v>
      </c>
      <c r="F34" s="149">
        <f>D34*VLOOKUP($D$29,$I$14:$N$16,3,0)</f>
        <v>0.48196268989741464</v>
      </c>
      <c r="G34" s="146"/>
      <c r="H34" s="146"/>
      <c r="I34" s="146"/>
      <c r="J34" s="147">
        <f>E34*VLOOKUP($D$29,$I$14:$N$16,2,0)</f>
        <v>4.2895313318169107E-2</v>
      </c>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2"/>
      <c r="AR34" s="322"/>
    </row>
    <row r="35" spans="2:44" x14ac:dyDescent="0.3">
      <c r="B35" s="122">
        <f>(G35+(K35+Q35)/2)/2</f>
        <v>0.24691443268286536</v>
      </c>
      <c r="C35" s="146">
        <v>2</v>
      </c>
      <c r="D35" s="148">
        <f>D34*VLOOKUP($D$29,$I$14:$N$16,6,0)</f>
        <v>0.73440354530634377</v>
      </c>
      <c r="E35" s="148">
        <f>E34*VLOOKUP($D$29,$I$14:$N$16,5,0)</f>
        <v>0.22197526534520082</v>
      </c>
      <c r="F35" s="148">
        <f>F34*VLOOKUP($D$29,$I$14:$N$16,4,0)</f>
        <v>0.28210857171301262</v>
      </c>
      <c r="G35" s="150">
        <f>D35*VLOOKUP($D$29,$I$14:$N$16,3,0)</f>
        <v>0.41302924355865722</v>
      </c>
      <c r="H35" s="146"/>
      <c r="I35" s="146"/>
      <c r="J35" s="148">
        <f>J34*VLOOKUP($D$29,$I$14:$N$16,4,0)</f>
        <v>2.5108033935047073E-2</v>
      </c>
      <c r="K35" s="147">
        <f>E35*VLOOKUP($D$29,$I$14:$N$16,3,0)</f>
        <v>0.12483909768711265</v>
      </c>
      <c r="L35" s="146"/>
      <c r="M35" s="146"/>
      <c r="N35" s="146"/>
      <c r="O35" s="146"/>
      <c r="P35" s="146"/>
      <c r="Q35" s="149">
        <f>F35*VLOOKUP($D$29,$I$14:$N$16,2,0)</f>
        <v>3.6760145927034381E-2</v>
      </c>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2"/>
      <c r="AR35" s="322"/>
    </row>
    <row r="36" spans="2:44" x14ac:dyDescent="0.3">
      <c r="B36" s="122">
        <f>(H36+(L36+R36+X36)/2)/2</f>
        <v>0.2383450696157268</v>
      </c>
      <c r="C36" s="146">
        <v>3</v>
      </c>
      <c r="D36" s="148">
        <f>D35*VLOOKUP($D$29,$I$14:$N$16,6,0)</f>
        <v>0.62936436189539646</v>
      </c>
      <c r="E36" s="148">
        <f>E35*VLOOKUP($D$29,$I$14:$N$16,6,0)</f>
        <v>0.19022691560165167</v>
      </c>
      <c r="F36" s="148">
        <f>F35*VLOOKUP($D$29,$I$14:$N$16,5,0)</f>
        <v>0.19022691560165167</v>
      </c>
      <c r="G36" s="148">
        <f>G35*VLOOKUP($D$29,$I$14:$N$16,4,0)</f>
        <v>0.2417595644194778</v>
      </c>
      <c r="H36" s="151">
        <f>D36*VLOOKUP($D$29,$I$14:$N$16,3,0)</f>
        <v>0.35395510816604331</v>
      </c>
      <c r="I36" s="152"/>
      <c r="J36" s="148">
        <f>J35*VLOOKUP($D$29,$I$14:$N$16,5,0)</f>
        <v>1.693044569076203E-2</v>
      </c>
      <c r="K36" s="148">
        <f>K35*VLOOKUP($D$29,$I$14:$N$16,4,0)</f>
        <v>7.3072418842107412E-2</v>
      </c>
      <c r="L36" s="147">
        <f>E36*VLOOKUP($D$29,$I$14:$N$16,3,0)</f>
        <v>0.10698379597646536</v>
      </c>
      <c r="M36" s="146"/>
      <c r="N36" s="146"/>
      <c r="O36" s="146"/>
      <c r="P36" s="146"/>
      <c r="Q36" s="148">
        <f>Q35*VLOOKUP($D$29,$I$14:$N$16,4,0)</f>
        <v>2.1516919215561911E-2</v>
      </c>
      <c r="R36" s="149">
        <f>F36*VLOOKUP($D$29,$I$14:$N$16,3,0)</f>
        <v>0.10698379597646536</v>
      </c>
      <c r="S36" s="146"/>
      <c r="T36" s="146"/>
      <c r="U36" s="146"/>
      <c r="V36" s="146"/>
      <c r="W36" s="146"/>
      <c r="X36" s="150">
        <f>G36*VLOOKUP($D$29,$I$14:$N$16,2,0)</f>
        <v>3.1502470177889826E-2</v>
      </c>
      <c r="Y36" s="146"/>
      <c r="Z36" s="146"/>
      <c r="AA36" s="146"/>
      <c r="AB36" s="146"/>
      <c r="AC36" s="146"/>
      <c r="AD36" s="146"/>
      <c r="AE36" s="146"/>
      <c r="AF36" s="146"/>
      <c r="AG36" s="146"/>
      <c r="AH36" s="146"/>
      <c r="AI36" s="146"/>
      <c r="AJ36" s="146"/>
      <c r="AK36" s="146"/>
      <c r="AL36" s="146"/>
      <c r="AM36" s="146"/>
      <c r="AN36" s="146"/>
      <c r="AO36" s="146"/>
      <c r="AP36" s="146"/>
      <c r="AQ36" s="12"/>
      <c r="AR36" s="322"/>
    </row>
    <row r="37" spans="2:44" x14ac:dyDescent="0.3">
      <c r="B37" s="122">
        <f>(I37+(M37+S37+Y37+AE37)/2)/2</f>
        <v>0.22717597271673118</v>
      </c>
      <c r="C37" s="146">
        <v>4</v>
      </c>
      <c r="D37" s="148">
        <f>D36*VLOOKUP($D$29,$I$14:$N$16,6,0)</f>
        <v>0.53934856735852699</v>
      </c>
      <c r="E37" s="148">
        <f>E36*VLOOKUP($D$29,$I$14:$N$16,6,0)</f>
        <v>0.16301942183983187</v>
      </c>
      <c r="F37" s="148">
        <f>F36*VLOOKUP($D$29,$I$14:$N$16,6,0)</f>
        <v>0.16301942183983187</v>
      </c>
      <c r="G37" s="148">
        <f>G36*VLOOKUP($D$29,$I$14:$N$16,5,0)</f>
        <v>0.1630194218398319</v>
      </c>
      <c r="H37" s="148">
        <f>H36*VLOOKUP($D$29,$I$14:$N$16,4,0)</f>
        <v>0.20718153522734542</v>
      </c>
      <c r="I37" s="155">
        <f>D37*VLOOKUP($D$29,$I$14:$N$16,3,0)</f>
        <v>0.30333014078467524</v>
      </c>
      <c r="J37" s="148">
        <f>J36*VLOOKUP($D$29,$I$14:$N$16,6,0)</f>
        <v>1.4508942960407939E-2</v>
      </c>
      <c r="K37" s="148">
        <f>K36*VLOOKUP($D$29,$I$14:$N$16,5,0)</f>
        <v>4.9273018425072319E-2</v>
      </c>
      <c r="L37" s="148">
        <f>L36*VLOOKUP($D$29,$I$14:$N$16,4,0)</f>
        <v>6.2621125062151603E-2</v>
      </c>
      <c r="M37" s="147">
        <f>E37*VLOOKUP($D$29,$I$14:$N$16,3,0)</f>
        <v>9.168227593426051E-2</v>
      </c>
      <c r="N37" s="152"/>
      <c r="O37" s="146"/>
      <c r="P37" s="146"/>
      <c r="Q37" s="148">
        <f>Q36*VLOOKUP($D$29,$I$14:$N$16,5,0)</f>
        <v>1.4508942960407938E-2</v>
      </c>
      <c r="R37" s="148">
        <f>R36*VLOOKUP($D$29,$I$14:$N$16,4,0)</f>
        <v>6.2621125062151603E-2</v>
      </c>
      <c r="S37" s="149">
        <f>F37*VLOOKUP($D$29,$I$14:$N$16,3,0)</f>
        <v>9.168227593426051E-2</v>
      </c>
      <c r="T37" s="146"/>
      <c r="U37" s="146"/>
      <c r="V37" s="146"/>
      <c r="W37" s="146"/>
      <c r="X37" s="148">
        <f>X36*VLOOKUP($D$29,$I$14:$N$16,4,0)</f>
        <v>1.8439429137570563E-2</v>
      </c>
      <c r="Y37" s="150">
        <f>G37*VLOOKUP($D$29,$I$14:$N$16,3,0)</f>
        <v>9.1682275934260524E-2</v>
      </c>
      <c r="Z37" s="146"/>
      <c r="AA37" s="146"/>
      <c r="AB37" s="146"/>
      <c r="AC37" s="146"/>
      <c r="AD37" s="146"/>
      <c r="AE37" s="151">
        <f>H37*VLOOKUP($D$29,$I$14:$N$16,2,0)</f>
        <v>2.6996781494792604E-2</v>
      </c>
      <c r="AF37" s="146"/>
      <c r="AG37" s="146"/>
      <c r="AH37" s="146"/>
      <c r="AI37" s="146"/>
      <c r="AJ37" s="146"/>
      <c r="AK37" s="146"/>
      <c r="AL37" s="152"/>
      <c r="AM37" s="146"/>
      <c r="AN37" s="146"/>
      <c r="AO37" s="146"/>
      <c r="AP37" s="146"/>
      <c r="AQ37" s="12"/>
      <c r="AR37" s="322"/>
    </row>
    <row r="38" spans="2:44" x14ac:dyDescent="0.3">
      <c r="B38" s="122">
        <f>(N38+T38+Z38+AF38+AL38)/4</f>
        <v>8.4353160501584132E-2</v>
      </c>
      <c r="C38" s="146">
        <v>5</v>
      </c>
      <c r="D38" s="146"/>
      <c r="E38" s="148">
        <f>E37*VLOOKUP($D$29,$I$14:$N$16,6,0)</f>
        <v>0.13970332123054363</v>
      </c>
      <c r="F38" s="148">
        <f>F37*VLOOKUP($D$29,$I$14:$N$16,6,0)</f>
        <v>0.13970332123054363</v>
      </c>
      <c r="G38" s="148">
        <f>G37*VLOOKUP($D$29,$I$14:$N$16,6,0)</f>
        <v>0.13970332123054363</v>
      </c>
      <c r="H38" s="148">
        <f>H37*VLOOKUP($D$29,$I$14:$N$16,5,0)</f>
        <v>0.13970332123054363</v>
      </c>
      <c r="I38" s="148">
        <f>I37*VLOOKUP($D$29,$I$14:$N$16,4,0)</f>
        <v>0.17754908122138191</v>
      </c>
      <c r="J38" s="148">
        <f>J37*VLOOKUP($D$29,$I$14:$N$16,6,0)</f>
        <v>1.2433779338912146E-2</v>
      </c>
      <c r="K38" s="148">
        <f>K37*VLOOKUP($D$29,$I$14:$N$16,6,0)</f>
        <v>4.2225670066475755E-2</v>
      </c>
      <c r="L38" s="148">
        <f>L37*VLOOKUP($D$29,$I$14:$N$16,5,0)</f>
        <v>4.2225670066475755E-2</v>
      </c>
      <c r="M38" s="148">
        <f>M37*VLOOKUP($D$29,$I$14:$N$16,4,0)</f>
        <v>5.3664643461753751E-2</v>
      </c>
      <c r="N38" s="147">
        <f>E38*VLOOKUP($D$29,$I$14:$N$16,3,0)</f>
        <v>7.8569279055446722E-2</v>
      </c>
      <c r="O38" s="146"/>
      <c r="P38" s="146"/>
      <c r="Q38" s="148">
        <f>Q37*VLOOKUP($D$29,$I$14:$N$16,6,0)</f>
        <v>1.2433779338912144E-2</v>
      </c>
      <c r="R38" s="148">
        <f>R37*VLOOKUP($D$29,$I$14:$N$16,5,0)</f>
        <v>4.2225670066475755E-2</v>
      </c>
      <c r="S38" s="148">
        <f>S37*VLOOKUP($D$29,$I$14:$N$16,4,0)</f>
        <v>5.3664643461753751E-2</v>
      </c>
      <c r="T38" s="149">
        <f>F38*VLOOKUP($D$29,$I$14:$N$16,3,0)</f>
        <v>7.8569279055446722E-2</v>
      </c>
      <c r="U38" s="152"/>
      <c r="V38" s="146"/>
      <c r="W38" s="146"/>
      <c r="X38" s="148">
        <f>X37*VLOOKUP($D$29,$I$14:$N$16,5,0)</f>
        <v>1.2433779338912146E-2</v>
      </c>
      <c r="Y38" s="148">
        <f>Y37*VLOOKUP($D$29,$I$14:$N$16,4,0)</f>
        <v>5.3664643461753758E-2</v>
      </c>
      <c r="Z38" s="150">
        <f>G38*VLOOKUP($D$29,$I$14:$N$16,3,0)</f>
        <v>7.8569279055446722E-2</v>
      </c>
      <c r="AA38" s="146"/>
      <c r="AB38" s="146"/>
      <c r="AC38" s="146"/>
      <c r="AD38" s="146"/>
      <c r="AE38" s="148">
        <f>AE37*VLOOKUP($D$29,$I$14:$N$16,4,0)</f>
        <v>1.5802101755978862E-2</v>
      </c>
      <c r="AF38" s="151">
        <f>H38*VLOOKUP($D$29,$I$14:$N$16,3,0)</f>
        <v>7.8569279055446722E-2</v>
      </c>
      <c r="AG38" s="146"/>
      <c r="AH38" s="146"/>
      <c r="AI38" s="146"/>
      <c r="AJ38" s="146"/>
      <c r="AK38" s="146"/>
      <c r="AL38" s="155">
        <f>I38*VLOOKUP($D$29,$I$14:$N$16,2,0)</f>
        <v>2.3135525784549655E-2</v>
      </c>
      <c r="AM38" s="152"/>
      <c r="AN38" s="146"/>
      <c r="AO38" s="146"/>
      <c r="AP38" s="146"/>
      <c r="AQ38" s="12"/>
      <c r="AR38" s="322"/>
    </row>
    <row r="39" spans="2:44" x14ac:dyDescent="0.3">
      <c r="B39" s="122">
        <f>(O39+U39+AA39+AG39+AM39)/4</f>
        <v>8.4164735609844263E-2</v>
      </c>
      <c r="C39" s="146">
        <v>6</v>
      </c>
      <c r="D39" s="146"/>
      <c r="E39" s="148">
        <f>E38*VLOOKUP($D$29,$I$14:$N$16,6,0)</f>
        <v>0.11972204135296294</v>
      </c>
      <c r="F39" s="148">
        <f>F38*VLOOKUP($D$29,$I$14:$N$16,6,0)</f>
        <v>0.11972204135296294</v>
      </c>
      <c r="G39" s="148">
        <f>G38*VLOOKUP($D$29,$I$14:$N$16,6,0)</f>
        <v>0.11972204135296294</v>
      </c>
      <c r="H39" s="148">
        <f>H38*VLOOKUP($D$29,$I$14:$N$16,6,0)</f>
        <v>0.11972204135296294</v>
      </c>
      <c r="I39" s="148">
        <f>I38*VLOOKUP($D$29,$I$14:$N$16,5,0)</f>
        <v>0.11972204135296295</v>
      </c>
      <c r="J39" s="146"/>
      <c r="K39" s="148">
        <f>K38*VLOOKUP($D$29,$I$14:$N$16,6,0)</f>
        <v>3.6186279419317909E-2</v>
      </c>
      <c r="L39" s="148">
        <f>L38*VLOOKUP($D$29,$I$14:$N$16,6,0)</f>
        <v>3.6186279419317909E-2</v>
      </c>
      <c r="M39" s="148">
        <f>M38*VLOOKUP($D$29,$I$14:$N$16,5,0)</f>
        <v>3.6186279419317909E-2</v>
      </c>
      <c r="N39" s="148">
        <f>N38*VLOOKUP($D$29,$I$14:$N$16,4,0)</f>
        <v>4.5989176256716072E-2</v>
      </c>
      <c r="O39" s="147">
        <f>E39*VLOOKUP($D$29,$I$14:$N$16,3,0)</f>
        <v>6.733178848787541E-2</v>
      </c>
      <c r="P39" s="146"/>
      <c r="Q39" s="148">
        <f>Q38*VLOOKUP($D$29,$I$14:$N$16,6,0)</f>
        <v>1.0655419148771108E-2</v>
      </c>
      <c r="R39" s="148">
        <f>R38*VLOOKUP($D$29,$I$14:$N$16,6,0)</f>
        <v>3.6186279419317909E-2</v>
      </c>
      <c r="S39" s="148">
        <f>S38*VLOOKUP($D$29,$I$14:$N$16,5,0)</f>
        <v>3.6186279419317909E-2</v>
      </c>
      <c r="T39" s="148">
        <f>T38*VLOOKUP($D$29,$I$14:$N$16,4,0)</f>
        <v>4.5989176256716072E-2</v>
      </c>
      <c r="U39" s="149">
        <f>F39*VLOOKUP($D$29,$I$14:$N$16,3,0)</f>
        <v>6.733178848787541E-2</v>
      </c>
      <c r="V39" s="146"/>
      <c r="W39" s="146"/>
      <c r="X39" s="148">
        <f>X38*VLOOKUP($D$29,$I$14:$N$16,6,0)</f>
        <v>1.0655419148771109E-2</v>
      </c>
      <c r="Y39" s="148">
        <f>Y38*VLOOKUP($D$29,$I$14:$N$16,5,0)</f>
        <v>3.6186279419317909E-2</v>
      </c>
      <c r="Z39" s="148">
        <f>Z38*VLOOKUP($D$29,$I$14:$N$16,4,0)</f>
        <v>4.5989176256716072E-2</v>
      </c>
      <c r="AA39" s="150">
        <f>G39*VLOOKUP($D$29,$I$14:$N$16,3,0)</f>
        <v>6.733178848787541E-2</v>
      </c>
      <c r="AB39" s="152"/>
      <c r="AC39" s="146"/>
      <c r="AD39" s="146"/>
      <c r="AE39" s="148">
        <f>AE38*VLOOKUP($D$29,$I$14:$N$16,5,0)</f>
        <v>1.0655419148771109E-2</v>
      </c>
      <c r="AF39" s="148">
        <f>AF38*VLOOKUP($D$29,$I$14:$N$16,4,0)</f>
        <v>4.5989176256716072E-2</v>
      </c>
      <c r="AG39" s="151">
        <f>H39*VLOOKUP($D$29,$I$14:$N$16,3,0)</f>
        <v>6.733178848787541E-2</v>
      </c>
      <c r="AH39" s="146"/>
      <c r="AI39" s="146"/>
      <c r="AJ39" s="146"/>
      <c r="AK39" s="146"/>
      <c r="AL39" s="148">
        <f>AL38*VLOOKUP($D$29,$I$14:$N$16,4,0)</f>
        <v>1.354198213205692E-2</v>
      </c>
      <c r="AM39" s="155">
        <f>I39*VLOOKUP($D$29,$I$14:$N$16,3,0)</f>
        <v>6.733178848787541E-2</v>
      </c>
      <c r="AN39" s="152"/>
      <c r="AO39" s="146"/>
      <c r="AP39" s="146"/>
      <c r="AQ39" s="12"/>
      <c r="AR39" s="322"/>
    </row>
    <row r="40" spans="2:44" x14ac:dyDescent="0.3">
      <c r="B40" s="122">
        <f>(P40+V40+AB40+AH40+AN40)/4</f>
        <v>7.2126946363104419E-2</v>
      </c>
      <c r="C40" s="146">
        <v>7</v>
      </c>
      <c r="D40" s="146"/>
      <c r="E40" s="148">
        <f>E39*VLOOKUP($D$29,$I$14:$N$16,6,0)</f>
        <v>0.10259861440278224</v>
      </c>
      <c r="F40" s="148">
        <f>F39*VLOOKUP($D$29,$I$14:$N$16,6,0)</f>
        <v>0.10259861440278224</v>
      </c>
      <c r="G40" s="148">
        <f>G39*VLOOKUP($D$29,$I$14:$N$16,6,0)</f>
        <v>0.10259861440278224</v>
      </c>
      <c r="H40" s="148">
        <f>H39*VLOOKUP($D$29,$I$14:$N$16,6,0)</f>
        <v>0.10259861440278224</v>
      </c>
      <c r="I40" s="148">
        <f>I39*VLOOKUP($D$29,$I$14:$N$16,6,0)</f>
        <v>0.10259861440278226</v>
      </c>
      <c r="J40" s="146"/>
      <c r="K40" s="146"/>
      <c r="L40" s="148">
        <f>L39*VLOOKUP($D$29,$I$14:$N$16,6,0)</f>
        <v>3.1010681799755749E-2</v>
      </c>
      <c r="M40" s="148">
        <f>M39*VLOOKUP($D$29,$I$14:$N$16,6,0)</f>
        <v>3.1010681799755749E-2</v>
      </c>
      <c r="N40" s="148">
        <f>N39*VLOOKUP($D$29,$I$14:$N$16,5,0)</f>
        <v>3.1010681799755749E-2</v>
      </c>
      <c r="O40" s="148">
        <f>O39*VLOOKUP($D$29,$I$14:$N$16,4,0)</f>
        <v>3.941150441591286E-2</v>
      </c>
      <c r="P40" s="147">
        <f>E40*VLOOKUP($D$29,$I$14:$N$16,3,0)</f>
        <v>5.7701557090483531E-2</v>
      </c>
      <c r="Q40" s="146"/>
      <c r="R40" s="148">
        <f>R39*VLOOKUP($D$29,$I$14:$N$16,6,0)</f>
        <v>3.1010681799755749E-2</v>
      </c>
      <c r="S40" s="148">
        <f>S39*VLOOKUP($D$29,$I$14:$N$16,6,0)</f>
        <v>3.1010681799755749E-2</v>
      </c>
      <c r="T40" s="148">
        <f>T39*VLOOKUP($D$29,$I$14:$N$16,5,0)</f>
        <v>3.1010681799755749E-2</v>
      </c>
      <c r="U40" s="148">
        <f>U39*VLOOKUP($D$29,$I$14:$N$16,4,0)</f>
        <v>3.941150441591286E-2</v>
      </c>
      <c r="V40" s="149">
        <f>F40*VLOOKUP($D$29,$I$14:$N$16,3,0)</f>
        <v>5.7701557090483531E-2</v>
      </c>
      <c r="W40" s="146"/>
      <c r="X40" s="148">
        <f>X39*VLOOKUP($D$29,$I$14:$N$16,6,0)</f>
        <v>9.1314116280538475E-3</v>
      </c>
      <c r="Y40" s="148">
        <f>Y39*VLOOKUP($D$29,$I$14:$N$16,6,0)</f>
        <v>3.1010681799755749E-2</v>
      </c>
      <c r="Z40" s="148">
        <f>Z39*VLOOKUP($D$29,$I$14:$N$16,5,0)</f>
        <v>3.1010681799755749E-2</v>
      </c>
      <c r="AA40" s="148">
        <f>AA39*VLOOKUP($D$29,$I$14:$N$16,4,0)</f>
        <v>3.941150441591286E-2</v>
      </c>
      <c r="AB40" s="150">
        <f>G40*VLOOKUP($D$29,$I$14:$N$16,3,0)</f>
        <v>5.7701557090483531E-2</v>
      </c>
      <c r="AC40" s="146"/>
      <c r="AD40" s="146"/>
      <c r="AE40" s="148">
        <f>AE39*VLOOKUP($D$29,$I$14:$N$16,6,0)</f>
        <v>9.1314116280538475E-3</v>
      </c>
      <c r="AF40" s="148">
        <f>AF39*VLOOKUP($D$29,$I$14:$N$16,5,0)</f>
        <v>3.1010681799755749E-2</v>
      </c>
      <c r="AG40" s="148">
        <f>AG39*VLOOKUP($D$29,$I$14:$N$16,4,0)</f>
        <v>3.941150441591286E-2</v>
      </c>
      <c r="AH40" s="151">
        <f>H40*VLOOKUP($D$29,$I$14:$N$16,3,0)</f>
        <v>5.7701557090483531E-2</v>
      </c>
      <c r="AI40" s="146"/>
      <c r="AJ40" s="146"/>
      <c r="AK40" s="146"/>
      <c r="AL40" s="148">
        <f>AL39*VLOOKUP($D$29,$I$14:$N$16,5,0)</f>
        <v>9.1314116280538492E-3</v>
      </c>
      <c r="AM40" s="148">
        <f>AM39*VLOOKUP($D$29,$I$14:$N$16,4,0)</f>
        <v>3.941150441591286E-2</v>
      </c>
      <c r="AN40" s="155">
        <f>I40*VLOOKUP($D$29,$I$14:$N$16,3,0)</f>
        <v>5.7701557090483538E-2</v>
      </c>
      <c r="AO40" s="152"/>
      <c r="AP40" s="146"/>
      <c r="AQ40" s="12"/>
      <c r="AR40" s="322"/>
    </row>
    <row r="41" spans="2:44" x14ac:dyDescent="0.3">
      <c r="B41" s="122">
        <f>(W41+AC41+AI41+AO41)/4</f>
        <v>4.9448704177312564E-2</v>
      </c>
      <c r="C41" s="146">
        <v>8</v>
      </c>
      <c r="D41" s="146"/>
      <c r="E41" s="146"/>
      <c r="F41" s="148">
        <f>F40*VLOOKUP($D$29,$I$14:$N$16,6,0)</f>
        <v>8.7924291620928685E-2</v>
      </c>
      <c r="G41" s="148">
        <f>G40*VLOOKUP($D$29,$I$14:$N$16,6,0)</f>
        <v>8.7924291620928685E-2</v>
      </c>
      <c r="H41" s="148">
        <f>H40*VLOOKUP($D$29,$I$14:$N$16,6,0)</f>
        <v>8.7924291620928685E-2</v>
      </c>
      <c r="I41" s="148">
        <f>I40*VLOOKUP($D$29,$I$14:$N$16,6,0)</f>
        <v>8.7924291620928685E-2</v>
      </c>
      <c r="J41" s="146"/>
      <c r="K41" s="146"/>
      <c r="L41" s="146"/>
      <c r="M41" s="148">
        <f>M40*VLOOKUP($D$29,$I$14:$N$16,6,0)</f>
        <v>2.6575331896993053E-2</v>
      </c>
      <c r="N41" s="148">
        <f>N40*VLOOKUP($D$29,$I$14:$N$16,6,0)</f>
        <v>2.6575331896993053E-2</v>
      </c>
      <c r="O41" s="148">
        <f>O40*VLOOKUP($D$29,$I$14:$N$16,5,0)</f>
        <v>2.6575331896993057E-2</v>
      </c>
      <c r="P41" s="148">
        <f>P40*VLOOKUP($D$29,$I$14:$N$16,4,0)</f>
        <v>3.3774614088650609E-2</v>
      </c>
      <c r="Q41" s="146"/>
      <c r="R41" s="146"/>
      <c r="S41" s="148">
        <f>S40*VLOOKUP($D$29,$I$14:$N$16,6,0)</f>
        <v>2.6575331896993053E-2</v>
      </c>
      <c r="T41" s="148">
        <f>T40*VLOOKUP($D$29,$I$14:$N$16,6,0)</f>
        <v>2.6575331896993053E-2</v>
      </c>
      <c r="U41" s="148">
        <f>U40*VLOOKUP($D$29,$I$14:$N$16,5,0)</f>
        <v>2.6575331896993057E-2</v>
      </c>
      <c r="V41" s="148">
        <f>V40*VLOOKUP($D$29,$I$14:$N$16,4,0)</f>
        <v>3.3774614088650609E-2</v>
      </c>
      <c r="W41" s="149">
        <f>F41*VLOOKUP($D$29,$I$14:$N$16,3,0)</f>
        <v>4.9448704177312564E-2</v>
      </c>
      <c r="X41" s="146"/>
      <c r="Y41" s="148">
        <f>Y40*VLOOKUP($D$29,$I$14:$N$16,6,0)</f>
        <v>2.6575331896993053E-2</v>
      </c>
      <c r="Z41" s="148">
        <f>Z40*VLOOKUP($D$29,$I$14:$N$16,6,0)</f>
        <v>2.6575331896993053E-2</v>
      </c>
      <c r="AA41" s="148">
        <f>AA40*VLOOKUP($D$29,$I$14:$N$16,5,0)</f>
        <v>2.6575331896993057E-2</v>
      </c>
      <c r="AB41" s="148">
        <f>AB40*VLOOKUP($D$29,$I$14:$N$16,4,0)</f>
        <v>3.3774614088650609E-2</v>
      </c>
      <c r="AC41" s="150">
        <f>G41*VLOOKUP($D$29,$I$14:$N$16,3,0)</f>
        <v>4.9448704177312564E-2</v>
      </c>
      <c r="AD41" s="146"/>
      <c r="AE41" s="148">
        <f>AE40*VLOOKUP($D$29,$I$14:$N$16,6,0)</f>
        <v>7.8253775995826072E-3</v>
      </c>
      <c r="AF41" s="148">
        <f>AF40*VLOOKUP($D$29,$I$14:$N$16,6,0)</f>
        <v>2.6575331896993053E-2</v>
      </c>
      <c r="AG41" s="148">
        <f>AG40*VLOOKUP($D$29,$I$14:$N$16,5,0)</f>
        <v>2.6575331896993057E-2</v>
      </c>
      <c r="AH41" s="148">
        <f>AH40*VLOOKUP($D$29,$I$14:$N$16,4,0)</f>
        <v>3.3774614088650609E-2</v>
      </c>
      <c r="AI41" s="151">
        <f>H41*VLOOKUP($D$29,$I$14:$N$16,3,0)</f>
        <v>4.9448704177312564E-2</v>
      </c>
      <c r="AJ41" s="146"/>
      <c r="AK41" s="146"/>
      <c r="AL41" s="148">
        <f>AL40*VLOOKUP($D$29,$I$14:$N$16,6,0)</f>
        <v>7.8253775995826089E-3</v>
      </c>
      <c r="AM41" s="148">
        <f>AM40*VLOOKUP($D$29,$I$14:$N$16,5,0)</f>
        <v>2.6575331896993057E-2</v>
      </c>
      <c r="AN41" s="148">
        <f>AN40*VLOOKUP($D$29,$I$14:$N$16,4,0)</f>
        <v>3.3774614088650616E-2</v>
      </c>
      <c r="AO41" s="155">
        <f>I41*VLOOKUP($D$29,$I$14:$N$16,3,0)</f>
        <v>4.9448704177312564E-2</v>
      </c>
      <c r="AP41" s="152"/>
      <c r="AQ41" s="12"/>
      <c r="AR41" s="322"/>
    </row>
    <row r="42" spans="2:44" x14ac:dyDescent="0.3">
      <c r="B42" s="122">
        <f>(AD42+AJ42+AP42)/4</f>
        <v>3.1782171072710627E-2</v>
      </c>
      <c r="C42" s="146">
        <v>9</v>
      </c>
      <c r="D42" s="146"/>
      <c r="E42" s="153"/>
      <c r="F42" s="146"/>
      <c r="G42" s="148">
        <f>G41*VLOOKUP($D$29,$I$14:$N$16,6,0)</f>
        <v>7.5348786160921791E-2</v>
      </c>
      <c r="H42" s="148">
        <f>H41*VLOOKUP($D$29,$I$14:$N$16,6,0)</f>
        <v>7.5348786160921791E-2</v>
      </c>
      <c r="I42" s="148">
        <f>I41*VLOOKUP($D$29,$I$14:$N$16,6,0)</f>
        <v>7.5348786160921791E-2</v>
      </c>
      <c r="J42" s="146"/>
      <c r="K42" s="146"/>
      <c r="L42" s="146"/>
      <c r="M42" s="146"/>
      <c r="N42" s="148">
        <f>N41*VLOOKUP($D$29,$I$14:$N$16,6,0)</f>
        <v>2.277435465610753E-2</v>
      </c>
      <c r="O42" s="148">
        <f>O41*VLOOKUP($D$29,$I$14:$N$16,6,0)</f>
        <v>2.2774354656107533E-2</v>
      </c>
      <c r="P42" s="148">
        <f>P41*VLOOKUP($D$29,$I$14:$N$16,5,0)</f>
        <v>2.2774354656107533E-2</v>
      </c>
      <c r="Q42" s="146"/>
      <c r="R42" s="146"/>
      <c r="S42" s="146"/>
      <c r="T42" s="148">
        <f>T41*VLOOKUP($D$29,$I$14:$N$16,6,0)</f>
        <v>2.277435465610753E-2</v>
      </c>
      <c r="U42" s="148">
        <f>U41*VLOOKUP($D$29,$I$14:$N$16,6,0)</f>
        <v>2.2774354656107533E-2</v>
      </c>
      <c r="V42" s="148">
        <f>V41*VLOOKUP($D$29,$I$14:$N$16,5,0)</f>
        <v>2.2774354656107533E-2</v>
      </c>
      <c r="W42" s="148">
        <f>W41*VLOOKUP($D$29,$I$14:$N$16,4,0)</f>
        <v>2.8943948568903029E-2</v>
      </c>
      <c r="X42" s="146"/>
      <c r="Y42" s="146"/>
      <c r="Z42" s="148">
        <f>Z41*VLOOKUP($D$29,$I$14:$N$16,6,0)</f>
        <v>2.277435465610753E-2</v>
      </c>
      <c r="AA42" s="148">
        <f>AA41*VLOOKUP($D$29,$I$14:$N$16,6,0)</f>
        <v>2.2774354656107533E-2</v>
      </c>
      <c r="AB42" s="148">
        <f>AB41*VLOOKUP($D$29,$I$14:$N$16,5,0)</f>
        <v>2.2774354656107533E-2</v>
      </c>
      <c r="AC42" s="148">
        <f>AC41*VLOOKUP($D$29,$I$14:$N$16,4,0)</f>
        <v>2.8943948568903029E-2</v>
      </c>
      <c r="AD42" s="150">
        <f>G42*VLOOKUP($D$29,$I$14:$N$16,3,0)</f>
        <v>4.2376228096947507E-2</v>
      </c>
      <c r="AE42" s="146"/>
      <c r="AF42" s="148">
        <f>AF41*VLOOKUP($D$29,$I$14:$N$16,6,0)</f>
        <v>2.277435465610753E-2</v>
      </c>
      <c r="AG42" s="148">
        <f>AG41*VLOOKUP($D$29,$I$14:$N$16,6,0)</f>
        <v>2.2774354656107533E-2</v>
      </c>
      <c r="AH42" s="148">
        <f>AH41*VLOOKUP($D$29,$I$14:$N$16,5,0)</f>
        <v>2.2774354656107533E-2</v>
      </c>
      <c r="AI42" s="148">
        <f>AI41*VLOOKUP($D$29,$I$14:$N$16,4,0)</f>
        <v>2.8943948568903029E-2</v>
      </c>
      <c r="AJ42" s="151">
        <f>H42*VLOOKUP($D$29,$I$14:$N$16,3,0)</f>
        <v>4.2376228096947507E-2</v>
      </c>
      <c r="AK42" s="146"/>
      <c r="AL42" s="146">
        <f>AL41*VLOOKUP($D$29,$I$14:$N$16,6,0)</f>
        <v>6.7061410732943199E-3</v>
      </c>
      <c r="AM42" s="148">
        <f>AM41*VLOOKUP($D$29,$I$14:$N$16,6,0)</f>
        <v>2.2774354656107533E-2</v>
      </c>
      <c r="AN42" s="148">
        <f>AN41*VLOOKUP($D$29,$I$14:$N$16,5,0)</f>
        <v>2.2774354656107536E-2</v>
      </c>
      <c r="AO42" s="148">
        <f>AO41*VLOOKUP($D$29,$I$14:$N$16,4,0)</f>
        <v>2.8943948568903029E-2</v>
      </c>
      <c r="AP42" s="155">
        <f>I42*VLOOKUP($D$29,$I$14:$N$16,3,0)</f>
        <v>4.2376228096947507E-2</v>
      </c>
      <c r="AQ42" s="12"/>
      <c r="AR42" s="322"/>
    </row>
    <row r="43" spans="2:44" x14ac:dyDescent="0.3">
      <c r="B43" s="122">
        <f>(AK43+AQ43)/4</f>
        <v>1.8157651829311481E-2</v>
      </c>
      <c r="C43" s="146">
        <v>10</v>
      </c>
      <c r="D43" s="146"/>
      <c r="E43" s="146"/>
      <c r="F43" s="146"/>
      <c r="G43" s="146"/>
      <c r="H43" s="148">
        <f>H42*VLOOKUP($D$29,$I$14:$N$16,6,0)</f>
        <v>6.4571911484958888E-2</v>
      </c>
      <c r="I43" s="148">
        <f>I42*VLOOKUP($D$29,$I$14:$N$16,6,0)</f>
        <v>6.4571911484958888E-2</v>
      </c>
      <c r="J43" s="146"/>
      <c r="K43" s="146"/>
      <c r="L43" s="146"/>
      <c r="M43" s="146"/>
      <c r="N43" s="146"/>
      <c r="O43" s="148">
        <f>O42*VLOOKUP($D$29,$I$14:$N$16,6,0)</f>
        <v>1.9517017962844461E-2</v>
      </c>
      <c r="P43" s="148">
        <f>P42*VLOOKUP($D$29,$I$14:$N$16,6,0)</f>
        <v>1.9517017962844461E-2</v>
      </c>
      <c r="Q43" s="146"/>
      <c r="R43" s="146"/>
      <c r="S43" s="146"/>
      <c r="T43" s="146"/>
      <c r="U43" s="148">
        <f>U42*VLOOKUP($D$29,$I$14:$N$16,6,0)</f>
        <v>1.9517017962844461E-2</v>
      </c>
      <c r="V43" s="148">
        <f>V42*VLOOKUP($D$29,$I$14:$N$16,6,0)</f>
        <v>1.9517017962844461E-2</v>
      </c>
      <c r="W43" s="148">
        <f>W42*VLOOKUP($D$29,$I$14:$N$16,5,0)</f>
        <v>1.9517017962844465E-2</v>
      </c>
      <c r="X43" s="146"/>
      <c r="Y43" s="146"/>
      <c r="Z43" s="146"/>
      <c r="AA43" s="148">
        <f>AA42*VLOOKUP($D$29,$I$14:$N$16,6,0)</f>
        <v>1.9517017962844461E-2</v>
      </c>
      <c r="AB43" s="148">
        <f>AB42*VLOOKUP($D$29,$I$14:$N$16,6,0)</f>
        <v>1.9517017962844461E-2</v>
      </c>
      <c r="AC43" s="148">
        <f>AC42*VLOOKUP($D$29,$I$14:$N$16,5,0)</f>
        <v>1.9517017962844465E-2</v>
      </c>
      <c r="AD43" s="148">
        <f>AD42*VLOOKUP($D$29,$I$14:$N$16,4,0)</f>
        <v>2.4804196328058598E-2</v>
      </c>
      <c r="AE43" s="146"/>
      <c r="AF43" s="146"/>
      <c r="AG43" s="148">
        <f>AG42*VLOOKUP($D$29,$I$14:$N$16,6,0)</f>
        <v>1.9517017962844461E-2</v>
      </c>
      <c r="AH43" s="148">
        <f>AH42*VLOOKUP($D$29,$I$14:$N$16,6,0)</f>
        <v>1.9517017962844461E-2</v>
      </c>
      <c r="AI43" s="148">
        <f>AI42*VLOOKUP($D$29,$I$14:$N$16,5,0)</f>
        <v>1.9517017962844465E-2</v>
      </c>
      <c r="AJ43" s="148">
        <f>AJ42*VLOOKUP($D$29,$I$14:$N$16,4,0)</f>
        <v>2.4804196328058598E-2</v>
      </c>
      <c r="AK43" s="151">
        <f>H43*VLOOKUP($D$29,$I$14:$N$16,3,0)</f>
        <v>3.6315303658622962E-2</v>
      </c>
      <c r="AL43" s="146"/>
      <c r="AM43" s="146">
        <f>AM42*VLOOKUP($D$29,$I$14:$N$16,6,0)</f>
        <v>1.9517017962844461E-2</v>
      </c>
      <c r="AN43" s="148">
        <f>AN42*VLOOKUP($D$29,$I$14:$N$16,6,0)</f>
        <v>1.9517017962844465E-2</v>
      </c>
      <c r="AO43" s="148">
        <f>AO42*VLOOKUP($D$29,$I$14:$N$16,5,0)</f>
        <v>1.9517017962844465E-2</v>
      </c>
      <c r="AP43" s="148">
        <f>AP42*VLOOKUP($D$29,$I$14:$N$16,4,0)</f>
        <v>2.4804196328058598E-2</v>
      </c>
      <c r="AQ43" s="155">
        <f>I43*VLOOKUP($D$29,$I$14:$N$16,3,0)</f>
        <v>3.6315303658622962E-2</v>
      </c>
      <c r="AR43" s="322"/>
    </row>
    <row r="44" spans="2:44" x14ac:dyDescent="0.3">
      <c r="B44" s="122">
        <f>AR44/4</f>
        <v>7.780313037777137E-3</v>
      </c>
      <c r="C44" s="146">
        <v>11</v>
      </c>
      <c r="D44" s="146"/>
      <c r="E44" s="146"/>
      <c r="F44" s="146"/>
      <c r="G44" s="146"/>
      <c r="H44" s="146"/>
      <c r="I44" s="148">
        <f>I43*VLOOKUP($D$29,$I$14:$N$16,6,0)</f>
        <v>5.5336415691110537E-2</v>
      </c>
      <c r="J44" s="146"/>
      <c r="K44" s="146"/>
      <c r="L44" s="146"/>
      <c r="M44" s="146"/>
      <c r="N44" s="146"/>
      <c r="O44" s="146"/>
      <c r="P44" s="148">
        <f>P43*VLOOKUP($D$29,$I$14:$N$16,6,0)</f>
        <v>1.6725566801509408E-2</v>
      </c>
      <c r="Q44" s="146"/>
      <c r="R44" s="146"/>
      <c r="S44" s="146"/>
      <c r="T44" s="146"/>
      <c r="U44" s="146"/>
      <c r="V44" s="148">
        <f>V43*VLOOKUP($D$29,$I$14:$N$16,6,0)</f>
        <v>1.6725566801509408E-2</v>
      </c>
      <c r="W44" s="148">
        <f>W43*VLOOKUP($D$29,$I$14:$N$16,6,0)</f>
        <v>1.6725566801509412E-2</v>
      </c>
      <c r="X44" s="146"/>
      <c r="Y44" s="146"/>
      <c r="Z44" s="146"/>
      <c r="AA44" s="146"/>
      <c r="AB44" s="148">
        <f>AB43*VLOOKUP($D$29,$I$14:$N$16,6,0)</f>
        <v>1.6725566801509408E-2</v>
      </c>
      <c r="AC44" s="148">
        <f>AC43*VLOOKUP($D$29,$I$14:$N$16,6,0)</f>
        <v>1.6725566801509412E-2</v>
      </c>
      <c r="AD44" s="148">
        <f>AD43*VLOOKUP($D$29,$I$14:$N$16,5,0)</f>
        <v>1.6725566801509412E-2</v>
      </c>
      <c r="AE44" s="146"/>
      <c r="AF44" s="146"/>
      <c r="AG44" s="146"/>
      <c r="AH44" s="148">
        <f>AH43*VLOOKUP($D$29,$I$14:$N$16,6,0)</f>
        <v>1.6725566801509408E-2</v>
      </c>
      <c r="AI44" s="148">
        <f>AI43*VLOOKUP($D$29,$I$14:$N$16,6,0)</f>
        <v>1.6725566801509412E-2</v>
      </c>
      <c r="AJ44" s="148">
        <f>AJ43*VLOOKUP($D$29,$I$14:$N$16,5,0)</f>
        <v>1.6725566801509412E-2</v>
      </c>
      <c r="AK44" s="148">
        <f>AK43*VLOOKUP($D$29,$I$14:$N$16,4,0)</f>
        <v>2.1256538444166861E-2</v>
      </c>
      <c r="AL44" s="146"/>
      <c r="AM44" s="146"/>
      <c r="AN44" s="146">
        <f>AN43*VLOOKUP($D$29,$I$14:$N$16,6,0)</f>
        <v>1.6725566801509412E-2</v>
      </c>
      <c r="AO44" s="148">
        <f>AO43*VLOOKUP($D$29,$I$14:$N$16,6,0)</f>
        <v>1.6725566801509412E-2</v>
      </c>
      <c r="AP44" s="148">
        <f>AP43*VLOOKUP($D$29,$I$14:$N$16,5,0)</f>
        <v>1.6725566801509412E-2</v>
      </c>
      <c r="AQ44" s="148">
        <f>AQ43*VLOOKUP($D$29,$I$14:$N$16,4,0)</f>
        <v>2.1256538444166861E-2</v>
      </c>
      <c r="AR44" s="340">
        <f>I44*VLOOKUP($D$29,$I$14:$N$16,3,0)</f>
        <v>3.1121252151108548E-2</v>
      </c>
    </row>
    <row r="45" spans="2:44" x14ac:dyDescent="0.3">
      <c r="B45" s="122"/>
      <c r="C45" s="146"/>
      <c r="D45" s="358"/>
      <c r="E45" s="146"/>
      <c r="F45" s="146"/>
      <c r="G45" s="146"/>
      <c r="H45" s="146"/>
      <c r="I45" s="146"/>
      <c r="J45" s="146"/>
      <c r="K45" s="146"/>
      <c r="L45" s="146"/>
      <c r="M45" s="146"/>
      <c r="N45" s="146"/>
      <c r="O45" s="146"/>
      <c r="P45" s="146"/>
      <c r="Q45" s="146"/>
      <c r="R45" s="146"/>
      <c r="S45" s="146"/>
      <c r="T45" s="146"/>
      <c r="U45" s="146"/>
      <c r="V45" s="146"/>
      <c r="W45" s="148">
        <f>W44*VLOOKUP($D$29,$I$14:$N$16,6,0)</f>
        <v>1.4333367185720571E-2</v>
      </c>
      <c r="X45" s="146"/>
      <c r="Y45" s="146"/>
      <c r="Z45" s="146"/>
      <c r="AA45" s="146"/>
      <c r="AB45" s="146"/>
      <c r="AC45" s="148">
        <f>AC44*VLOOKUP($D$29,$I$14:$N$16,6,0)</f>
        <v>1.4333367185720571E-2</v>
      </c>
      <c r="AD45" s="148">
        <f>AD44*VLOOKUP($D$29,$I$14:$N$16,6,0)</f>
        <v>1.4333367185720571E-2</v>
      </c>
      <c r="AE45" s="146"/>
      <c r="AF45" s="146"/>
      <c r="AG45" s="146"/>
      <c r="AH45" s="146"/>
      <c r="AI45" s="148">
        <f>AI44*VLOOKUP($D$29,$I$14:$N$16,6,0)</f>
        <v>1.4333367185720571E-2</v>
      </c>
      <c r="AJ45" s="148">
        <f>AJ44*VLOOKUP($D$29,$I$14:$N$16,6,0)</f>
        <v>1.4333367185720571E-2</v>
      </c>
      <c r="AK45" s="148">
        <f>AK44*VLOOKUP($D$29,$I$14:$N$16,5,0)</f>
        <v>1.4333367185720571E-2</v>
      </c>
      <c r="AL45" s="146"/>
      <c r="AM45" s="146"/>
      <c r="AN45" s="146"/>
      <c r="AO45" s="146">
        <f>AO44*VLOOKUP($D$29,$I$14:$N$16,6,0)</f>
        <v>1.4333367185720571E-2</v>
      </c>
      <c r="AP45" s="148">
        <f>AP44*VLOOKUP($D$29,$I$14:$N$16,6,0)</f>
        <v>1.4333367185720571E-2</v>
      </c>
      <c r="AQ45" s="148">
        <f>AQ44*VLOOKUP($D$29,$I$14:$N$16,5,0)</f>
        <v>1.4333367185720571E-2</v>
      </c>
      <c r="AR45" s="341">
        <f>AR44*VLOOKUP($D$29,$I$14:$N$16,4,0)</f>
        <v>1.8216289721800828E-2</v>
      </c>
    </row>
    <row r="46" spans="2:44" x14ac:dyDescent="0.3">
      <c r="B46" s="1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8">
        <f>AD45*VLOOKUP($D$29,$I$14:$N$16,6,0)</f>
        <v>1.2283315556286598E-2</v>
      </c>
      <c r="AE46" s="146"/>
      <c r="AF46" s="146"/>
      <c r="AG46" s="146"/>
      <c r="AH46" s="146"/>
      <c r="AI46" s="146"/>
      <c r="AJ46" s="148">
        <f>AJ45*VLOOKUP($D$29,$I$14:$N$16,6,0)</f>
        <v>1.2283315556286598E-2</v>
      </c>
      <c r="AK46" s="148">
        <f>AK45*VLOOKUP($D$29,$I$14:$N$16,6,0)</f>
        <v>1.2283315556286598E-2</v>
      </c>
      <c r="AL46" s="12"/>
      <c r="AM46" s="12"/>
      <c r="AN46" s="12"/>
      <c r="AO46" s="12"/>
      <c r="AP46" s="152">
        <f>AP45*VLOOKUP($D$29,$I$14:$N$16,6,0)</f>
        <v>1.2283315556286598E-2</v>
      </c>
      <c r="AQ46" s="148">
        <f>AQ45*VLOOKUP($D$29,$I$14:$N$16,6,0)</f>
        <v>1.2283315556286598E-2</v>
      </c>
      <c r="AR46" s="341">
        <f>AR45*VLOOKUP($D$29,$I$14:$N$16,5,0)</f>
        <v>1.2283315556286596E-2</v>
      </c>
    </row>
    <row r="47" spans="2:44" x14ac:dyDescent="0.3">
      <c r="B47" s="1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8">
        <f>AK46*VLOOKUP($D$29,$I$14:$N$16,6,0)</f>
        <v>1.0526475677370799E-2</v>
      </c>
      <c r="AL47" s="12"/>
      <c r="AM47" s="12"/>
      <c r="AN47" s="12"/>
      <c r="AO47" s="12"/>
      <c r="AP47" s="12"/>
      <c r="AQ47" s="152">
        <f>AQ46*VLOOKUP($D$29,$I$14:$N$16,6,0)</f>
        <v>1.0526475677370799E-2</v>
      </c>
      <c r="AR47" s="341">
        <f>AR46*VLOOKUP($D$29,$I$14:$N$16,6,0)</f>
        <v>1.0526475677370797E-2</v>
      </c>
    </row>
    <row r="48" spans="2:44" x14ac:dyDescent="0.3">
      <c r="B48" s="17"/>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337"/>
      <c r="AH48" s="337"/>
      <c r="AI48" s="337"/>
      <c r="AJ48" s="337"/>
      <c r="AK48" s="20"/>
      <c r="AL48" s="337"/>
      <c r="AM48" s="20"/>
      <c r="AN48" s="20"/>
      <c r="AO48" s="20"/>
      <c r="AP48" s="20"/>
      <c r="AQ48" s="20"/>
      <c r="AR48" s="338">
        <f>AR47*VLOOKUP($D$29,$I$14:$N$16,6,0)</f>
        <v>9.0209104926534407E-3</v>
      </c>
    </row>
    <row r="49" spans="2:44" x14ac:dyDescent="0.3">
      <c r="B49" s="360">
        <f>SUM(B33:B44)</f>
        <v>1.5931548004352176</v>
      </c>
      <c r="C49" s="361"/>
      <c r="D49" s="362">
        <f>SUM(D33:D43)</f>
        <v>3.7600899544920239</v>
      </c>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c r="AO49" s="361"/>
      <c r="AP49" s="361"/>
      <c r="AQ49" s="361"/>
      <c r="AR49" s="7"/>
    </row>
    <row r="53" spans="2:44" x14ac:dyDescent="0.3">
      <c r="E53" t="s">
        <v>145</v>
      </c>
      <c r="F53" s="146"/>
    </row>
    <row r="54" spans="2:44" x14ac:dyDescent="0.3">
      <c r="E54" s="147">
        <v>0.60139799999999999</v>
      </c>
      <c r="F54" s="146" t="s">
        <v>143</v>
      </c>
    </row>
    <row r="55" spans="2:44" x14ac:dyDescent="0.3">
      <c r="E55" s="148">
        <v>0.38241696023999999</v>
      </c>
      <c r="F55" t="s">
        <v>144</v>
      </c>
    </row>
    <row r="56" spans="2:44" x14ac:dyDescent="0.3">
      <c r="E56" s="148">
        <v>0.26635951082800796</v>
      </c>
      <c r="F56" t="s">
        <v>146</v>
      </c>
    </row>
    <row r="57" spans="2:44" x14ac:dyDescent="0.3">
      <c r="E57" s="148">
        <v>0.23247891240191679</v>
      </c>
    </row>
    <row r="58" spans="2:44" x14ac:dyDescent="0.3">
      <c r="E58" s="148">
        <v>0.20290788394815998</v>
      </c>
    </row>
    <row r="59" spans="2:44" x14ac:dyDescent="0.3">
      <c r="E59" s="148">
        <v>0.17709825352736164</v>
      </c>
    </row>
    <row r="60" spans="2:44" x14ac:dyDescent="0.3">
      <c r="E60" s="148">
        <v>0.15452318082789854</v>
      </c>
    </row>
  </sheetData>
  <sheetProtection algorithmName="SHA-512" hashValue="4DxvMRNLaDF19CkhU6VxcQR2BtSghRDjNLZeQJBfyzFF1ck62as6UcobmxUlldbCHSMhVxwrbyv2wuxEtMAe3Q==" saltValue="BF5l1MzVP9tvR5r6pFkv2g==" spinCount="100000" sheet="1" objects="1" scenarios="1"/>
  <mergeCells count="2">
    <mergeCell ref="J12:K12"/>
    <mergeCell ref="L12:N12"/>
  </mergeCells>
  <phoneticPr fontId="0" type="noConversion"/>
  <pageMargins left="0.7" right="0.7" top="0.75" bottom="0.75" header="0.3" footer="0.3"/>
  <pageSetup paperSize="26" orientation="portrait" horizontalDpi="4294967293" verticalDpi="52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Instructions</vt:lpstr>
      <vt:lpstr>Conceptual Model</vt:lpstr>
      <vt:lpstr>Mit-WinHabPrt</vt:lpstr>
      <vt:lpstr>Mit-SumHabPrt</vt:lpstr>
      <vt:lpstr>Mit-SumHabRst</vt:lpstr>
      <vt:lpstr>Impacts</vt:lpstr>
      <vt:lpstr>Services</vt:lpstr>
      <vt:lpstr>Parameter Sets</vt:lpstr>
      <vt:lpstr>BrAnnSurvival</vt:lpstr>
      <vt:lpstr>cavelookup</vt:lpstr>
      <vt:lpstr>endyr</vt:lpstr>
      <vt:lpstr>fbreedrate</vt:lpstr>
      <vt:lpstr>firstgen</vt:lpstr>
      <vt:lpstr>firstgenfull</vt:lpstr>
      <vt:lpstr>FirstYrSurvival</vt:lpstr>
      <vt:lpstr>incidentyr</vt:lpstr>
      <vt:lpstr>injpop</vt:lpstr>
      <vt:lpstr>jfbreedrate</vt:lpstr>
      <vt:lpstr>JuvenileSurvival</vt:lpstr>
      <vt:lpstr>projyrs</vt:lpstr>
      <vt:lpstr>secondgen</vt:lpstr>
      <vt:lpstr>secondgenfull</vt:lpstr>
      <vt:lpstr>xcottonage</vt:lpstr>
      <vt:lpstr>xcottonp</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alaughland</dc:creator>
  <cp:lastModifiedBy>Reed, Marissa</cp:lastModifiedBy>
  <cp:lastPrinted>2012-07-24T16:50:15Z</cp:lastPrinted>
  <dcterms:created xsi:type="dcterms:W3CDTF">2012-01-11T19:16:49Z</dcterms:created>
  <dcterms:modified xsi:type="dcterms:W3CDTF">2021-11-05T14:50:25Z</dcterms:modified>
</cp:coreProperties>
</file>