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5761B0AB-9A0E-4607-B3D5-8E0669ABB8B7}" xr6:coauthVersionLast="45" xr6:coauthVersionMax="45" xr10:uidLastSave="{00000000-0000-0000-0000-000000000000}"/>
  <bookViews>
    <workbookView xWindow="57480" yWindow="13215" windowWidth="29040" windowHeight="15840" xr2:uid="{00000000-000D-0000-FFFF-FFFF00000000}"/>
  </bookViews>
  <sheets>
    <sheet name="FOIA_Inde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255" i="1" l="1"/>
  <c r="A4333" i="1"/>
  <c r="A4406" i="1" l="1"/>
  <c r="A4405" i="1"/>
  <c r="A4404" i="1"/>
  <c r="A4403" i="1"/>
  <c r="A4402" i="1"/>
  <c r="A4401" i="1"/>
  <c r="A4400" i="1"/>
  <c r="A4399" i="1"/>
  <c r="A4398" i="1"/>
  <c r="A4397" i="1"/>
  <c r="A4396" i="1"/>
  <c r="A4395" i="1"/>
  <c r="A4394" i="1"/>
  <c r="A4393" i="1"/>
  <c r="L4392"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2" i="1"/>
  <c r="A4331" i="1"/>
  <c r="A4330" i="1"/>
  <c r="A4329" i="1"/>
  <c r="L4328" i="1"/>
  <c r="A4328" i="1"/>
  <c r="L4327" i="1"/>
  <c r="A4327" i="1"/>
  <c r="L4326" i="1"/>
  <c r="A4326" i="1"/>
  <c r="L4325" i="1"/>
  <c r="A4325" i="1"/>
  <c r="L4324" i="1"/>
  <c r="A4324" i="1"/>
  <c r="L4323" i="1"/>
  <c r="A4323" i="1"/>
  <c r="L4322" i="1"/>
  <c r="A4322" i="1"/>
  <c r="L4321" i="1"/>
  <c r="A4321" i="1"/>
  <c r="L4320" i="1"/>
  <c r="A4320" i="1"/>
  <c r="L4319" i="1"/>
  <c r="A4319" i="1"/>
  <c r="L4318" i="1"/>
  <c r="A4318" i="1"/>
  <c r="L4317" i="1"/>
  <c r="A4317" i="1"/>
  <c r="L4316" i="1"/>
  <c r="A4316" i="1"/>
  <c r="L4315"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79" i="1"/>
  <c r="A4277" i="1"/>
  <c r="L4276" i="1"/>
  <c r="A4276" i="1"/>
  <c r="L4275" i="1"/>
  <c r="A4275" i="1"/>
  <c r="L4274" i="1"/>
  <c r="A4274" i="1"/>
  <c r="L4273" i="1"/>
  <c r="A4273" i="1"/>
  <c r="L4272" i="1"/>
  <c r="A4272" i="1"/>
  <c r="L4271" i="1"/>
  <c r="A4271" i="1"/>
  <c r="L4270" i="1"/>
  <c r="A4270" i="1"/>
  <c r="A4269" i="1"/>
  <c r="A4268" i="1"/>
  <c r="A4267" i="1"/>
  <c r="A4266" i="1"/>
  <c r="A4265" i="1"/>
  <c r="A4264" i="1"/>
  <c r="A4263" i="1"/>
  <c r="A4262" i="1"/>
  <c r="A4261" i="1"/>
  <c r="A4260" i="1"/>
  <c r="A4259" i="1"/>
  <c r="A4258" i="1"/>
  <c r="A4257" i="1"/>
  <c r="A4256" i="1"/>
  <c r="A4254" i="1"/>
  <c r="A4253" i="1"/>
  <c r="A4252" i="1"/>
  <c r="A4251" i="1"/>
  <c r="A4250" i="1"/>
  <c r="A4249" i="1"/>
  <c r="A4248" i="1"/>
  <c r="A4247" i="1"/>
  <c r="A4246" i="1"/>
  <c r="A4245" i="1"/>
  <c r="A4244" i="1"/>
  <c r="A4243" i="1"/>
  <c r="A4242" i="1"/>
  <c r="A4241" i="1"/>
  <c r="A4239" i="1"/>
  <c r="A4238" i="1"/>
  <c r="A4237" i="1"/>
  <c r="A4235" i="1"/>
  <c r="A4234" i="1"/>
  <c r="A4233" i="1"/>
  <c r="A4232" i="1"/>
  <c r="A4230" i="1"/>
  <c r="A4229" i="1"/>
  <c r="A4228" i="1"/>
  <c r="A4227" i="1"/>
  <c r="A4226" i="1"/>
  <c r="A4225" i="1"/>
  <c r="A4224" i="1"/>
  <c r="A4223" i="1"/>
  <c r="A4222" i="1"/>
  <c r="A4221" i="1"/>
  <c r="A4220" i="1"/>
  <c r="A4219" i="1"/>
  <c r="A4218" i="1"/>
  <c r="A4217" i="1"/>
  <c r="A4216"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L4183" i="1"/>
  <c r="A4183" i="1"/>
  <c r="L4182" i="1"/>
  <c r="A4182" i="1"/>
  <c r="L4181" i="1"/>
  <c r="A4181" i="1"/>
  <c r="L4180" i="1"/>
  <c r="A4180" i="1"/>
  <c r="L4179" i="1"/>
  <c r="A4179" i="1"/>
  <c r="L4178" i="1"/>
  <c r="A4178" i="1"/>
  <c r="L4177" i="1"/>
  <c r="A4177" i="1"/>
  <c r="A4176" i="1"/>
  <c r="L4175" i="1"/>
  <c r="A4175" i="1"/>
  <c r="L4174" i="1"/>
  <c r="A4174" i="1"/>
  <c r="L4173" i="1"/>
  <c r="A4173" i="1"/>
  <c r="L4172" i="1"/>
  <c r="A4172" i="1"/>
  <c r="L4171" i="1"/>
  <c r="A4171" i="1"/>
  <c r="L4170" i="1"/>
  <c r="A4170" i="1"/>
  <c r="L4169" i="1"/>
  <c r="A4169" i="1"/>
  <c r="L4168" i="1"/>
  <c r="A4168" i="1"/>
  <c r="L4167" i="1"/>
  <c r="A4167" i="1"/>
  <c r="L4166" i="1"/>
  <c r="A4166" i="1"/>
  <c r="L4165" i="1"/>
  <c r="A4165" i="1"/>
  <c r="L4164" i="1"/>
  <c r="A4164" i="1"/>
  <c r="L4163" i="1"/>
  <c r="A4163" i="1"/>
  <c r="L4162" i="1"/>
  <c r="A4162" i="1"/>
  <c r="A4161" i="1"/>
  <c r="A4160" i="1"/>
  <c r="A4159" i="1"/>
  <c r="A4158" i="1"/>
  <c r="A4157" i="1"/>
  <c r="A4156" i="1"/>
  <c r="A4155" i="1"/>
  <c r="A4154" i="1"/>
  <c r="A4153" i="1"/>
  <c r="A4152" i="1"/>
  <c r="A4151" i="1"/>
  <c r="A4150" i="1"/>
  <c r="A4149" i="1"/>
  <c r="L4148" i="1"/>
  <c r="A4148" i="1"/>
  <c r="A4147" i="1"/>
  <c r="A4146" i="1"/>
  <c r="L4145" i="1"/>
  <c r="A4145" i="1"/>
  <c r="A4144" i="1"/>
  <c r="A4143" i="1"/>
  <c r="A4142" i="1"/>
  <c r="A4141" i="1"/>
  <c r="A4140" i="1"/>
  <c r="A4139" i="1"/>
  <c r="A4138" i="1"/>
  <c r="A4137" i="1"/>
  <c r="A4136" i="1"/>
  <c r="A4135" i="1"/>
  <c r="A4134" i="1"/>
  <c r="A4133" i="1"/>
  <c r="A4132" i="1"/>
  <c r="A4131" i="1"/>
  <c r="A4130" i="1"/>
  <c r="A4129" i="1"/>
  <c r="A4128" i="1"/>
  <c r="A4127" i="1"/>
  <c r="A4126" i="1"/>
  <c r="A4125" i="1"/>
  <c r="L4124" i="1"/>
  <c r="A4124" i="1"/>
  <c r="A4123" i="1"/>
  <c r="A4122" i="1"/>
  <c r="A4121" i="1"/>
  <c r="A4120" i="1"/>
  <c r="A4119" i="1"/>
  <c r="A4118" i="1"/>
  <c r="A4117" i="1"/>
  <c r="A4116" i="1"/>
  <c r="A4115" i="1"/>
  <c r="A4114" i="1"/>
  <c r="A4113" i="1"/>
  <c r="A4112" i="1"/>
  <c r="A4111" i="1"/>
  <c r="L4110" i="1"/>
  <c r="A4110" i="1"/>
  <c r="A4109" i="1"/>
  <c r="A4108" i="1"/>
  <c r="A4107" i="1"/>
  <c r="A4106" i="1"/>
  <c r="A4105" i="1"/>
  <c r="A4104" i="1"/>
  <c r="A4103" i="1"/>
  <c r="A4102" i="1"/>
  <c r="L4101"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L3923"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7" i="1"/>
  <c r="A3666" i="1"/>
  <c r="A3665" i="1"/>
  <c r="A3664" i="1"/>
  <c r="A3663" i="1"/>
  <c r="A3662" i="1"/>
  <c r="A3661" i="1"/>
  <c r="A3660" i="1"/>
  <c r="A3659" i="1"/>
  <c r="A3658" i="1"/>
  <c r="A3657" i="1"/>
  <c r="A3656" i="1"/>
  <c r="A3655" i="1"/>
  <c r="A3654" i="1"/>
  <c r="A3653" i="1"/>
  <c r="A3652" i="1"/>
  <c r="A3651" i="1"/>
  <c r="A3650" i="1"/>
  <c r="L3649" i="1"/>
  <c r="A3649" i="1"/>
  <c r="L3648" i="1"/>
  <c r="A3648" i="1"/>
  <c r="A3647" i="1"/>
  <c r="A3646" i="1"/>
  <c r="A3645" i="1"/>
  <c r="A3644" i="1"/>
  <c r="A3643" i="1"/>
  <c r="A3642" i="1"/>
  <c r="A3641" i="1"/>
  <c r="A3640" i="1"/>
  <c r="A3639" i="1"/>
  <c r="A3638" i="1"/>
  <c r="A3637" i="1"/>
  <c r="A3636" i="1"/>
  <c r="A3635" i="1"/>
  <c r="A3634" i="1"/>
  <c r="A3633" i="1"/>
  <c r="A3632" i="1"/>
  <c r="A3631" i="1"/>
  <c r="L3630" i="1"/>
  <c r="A3630" i="1"/>
  <c r="A3629" i="1"/>
  <c r="A3628" i="1"/>
  <c r="A3627" i="1"/>
  <c r="A3626" i="1"/>
  <c r="A3625" i="1"/>
  <c r="L3624" i="1"/>
  <c r="A3624" i="1"/>
  <c r="A3623" i="1"/>
  <c r="A3622" i="1"/>
  <c r="A3621" i="1"/>
  <c r="A3620" i="1"/>
  <c r="A3619" i="1"/>
  <c r="A3618" i="1"/>
  <c r="A3617" i="1"/>
  <c r="A3616" i="1"/>
  <c r="L3615"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L3559" i="1"/>
  <c r="A3559" i="1"/>
  <c r="A3558" i="1"/>
  <c r="A3557" i="1"/>
  <c r="L3556"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L3529"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L3468"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L3370" i="1"/>
  <c r="A3370" i="1"/>
  <c r="A3369" i="1"/>
  <c r="A3368" i="1"/>
  <c r="L3367"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L3320" i="1"/>
  <c r="A3320" i="1"/>
  <c r="A3319" i="1"/>
  <c r="A3318" i="1"/>
  <c r="A3317" i="1"/>
  <c r="A3316" i="1"/>
  <c r="L3315"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L3276" i="1"/>
  <c r="A3276" i="1"/>
  <c r="L3275" i="1"/>
  <c r="A3275" i="1"/>
  <c r="L3274" i="1"/>
  <c r="A3274" i="1"/>
  <c r="L3273" i="1"/>
  <c r="A3273" i="1"/>
  <c r="L3272" i="1"/>
  <c r="A3272" i="1"/>
  <c r="L3271" i="1"/>
  <c r="A3271" i="1"/>
  <c r="L3270" i="1"/>
  <c r="A3270" i="1"/>
  <c r="L3269" i="1"/>
  <c r="A3269" i="1"/>
  <c r="L3268" i="1"/>
  <c r="A3268" i="1"/>
  <c r="L3267" i="1"/>
  <c r="A3267" i="1"/>
  <c r="L3266" i="1"/>
  <c r="A3266" i="1"/>
  <c r="L3265" i="1"/>
  <c r="A3265" i="1"/>
  <c r="L3264" i="1"/>
  <c r="A3264" i="1"/>
  <c r="L3263" i="1"/>
  <c r="A3263" i="1"/>
  <c r="L3262" i="1"/>
  <c r="A3262" i="1"/>
  <c r="L3261" i="1"/>
  <c r="A3261" i="1"/>
  <c r="L3260" i="1"/>
  <c r="A3260" i="1"/>
  <c r="L3259" i="1"/>
  <c r="A3259" i="1"/>
  <c r="L3258" i="1"/>
  <c r="A3258" i="1"/>
  <c r="L3257" i="1"/>
  <c r="A3257" i="1"/>
  <c r="L3256" i="1"/>
  <c r="A3256" i="1"/>
  <c r="L3255" i="1"/>
  <c r="A3255" i="1"/>
  <c r="L3254" i="1"/>
  <c r="A3254" i="1"/>
  <c r="L3253" i="1"/>
  <c r="A3253" i="1"/>
  <c r="L3252" i="1"/>
  <c r="A3252" i="1"/>
  <c r="L3251" i="1"/>
  <c r="A3251" i="1"/>
  <c r="L3250" i="1"/>
  <c r="A3250" i="1"/>
  <c r="L3249" i="1"/>
  <c r="A3249" i="1"/>
  <c r="L3248" i="1"/>
  <c r="A3248" i="1"/>
  <c r="L3247" i="1"/>
  <c r="A3247" i="1"/>
  <c r="L3246" i="1"/>
  <c r="A3246" i="1"/>
  <c r="L3245" i="1"/>
  <c r="A3245" i="1"/>
  <c r="L3244" i="1"/>
  <c r="A3244" i="1"/>
  <c r="L3243" i="1"/>
  <c r="A3243" i="1"/>
  <c r="L3242" i="1"/>
  <c r="A3242" i="1"/>
  <c r="L3241" i="1"/>
  <c r="A3241" i="1"/>
  <c r="L3240" i="1"/>
  <c r="A3240" i="1"/>
  <c r="L3239" i="1"/>
  <c r="A3239" i="1"/>
  <c r="L3238" i="1"/>
  <c r="A3238" i="1"/>
  <c r="L3237" i="1"/>
  <c r="A3237" i="1"/>
  <c r="L3236" i="1"/>
  <c r="A3236" i="1"/>
  <c r="L3235" i="1"/>
  <c r="A3235" i="1"/>
  <c r="L3234" i="1"/>
  <c r="A3234" i="1"/>
  <c r="L3233" i="1"/>
  <c r="A3233" i="1"/>
  <c r="L3232" i="1"/>
  <c r="A3232" i="1"/>
  <c r="L3231" i="1"/>
  <c r="A3231" i="1"/>
  <c r="L3230" i="1"/>
  <c r="A3230" i="1"/>
  <c r="L3229" i="1"/>
  <c r="A3229" i="1"/>
  <c r="L3228" i="1"/>
  <c r="A3228" i="1"/>
  <c r="L3227"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L3186" i="1"/>
  <c r="A3186" i="1"/>
  <c r="L3185"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L3131" i="1"/>
  <c r="A3131" i="1"/>
  <c r="A3130" i="1"/>
  <c r="L3129"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L2995" i="1"/>
  <c r="A2995" i="1"/>
  <c r="A2994" i="1"/>
  <c r="A2993" i="1"/>
  <c r="A2992" i="1"/>
  <c r="A2991" i="1"/>
  <c r="L2990" i="1"/>
  <c r="A2990" i="1"/>
  <c r="A2989" i="1"/>
  <c r="A2988" i="1"/>
  <c r="A2987" i="1"/>
  <c r="L2986" i="1"/>
  <c r="A2986" i="1"/>
  <c r="L2985" i="1"/>
  <c r="A2985" i="1"/>
  <c r="L2984" i="1"/>
  <c r="A2984" i="1"/>
  <c r="L2983" i="1"/>
  <c r="A2983" i="1"/>
  <c r="L2982" i="1"/>
  <c r="A2982" i="1"/>
  <c r="L2981" i="1"/>
  <c r="A2981" i="1"/>
  <c r="L2980" i="1"/>
  <c r="A2980" i="1"/>
  <c r="L2979" i="1"/>
  <c r="A2979" i="1"/>
  <c r="L2978" i="1"/>
  <c r="A2978" i="1"/>
  <c r="L2977" i="1"/>
  <c r="A2977" i="1"/>
  <c r="L2976" i="1"/>
  <c r="A2976" i="1"/>
  <c r="L2975" i="1"/>
  <c r="A2975" i="1"/>
  <c r="L2974" i="1"/>
  <c r="A2974" i="1"/>
  <c r="L2973" i="1"/>
  <c r="A2973" i="1"/>
  <c r="L2972" i="1"/>
  <c r="A2972" i="1"/>
  <c r="L2971" i="1"/>
  <c r="A2971" i="1"/>
  <c r="L2970" i="1"/>
  <c r="A2970" i="1"/>
  <c r="L2969" i="1"/>
  <c r="A2969" i="1"/>
  <c r="L2968" i="1"/>
  <c r="A2968" i="1"/>
  <c r="L2967" i="1"/>
  <c r="A2967" i="1"/>
  <c r="L2966"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L2943" i="1"/>
  <c r="A2943" i="1"/>
  <c r="L2942" i="1"/>
  <c r="A2942" i="1"/>
  <c r="L2941" i="1"/>
  <c r="A2941" i="1"/>
  <c r="L2940" i="1"/>
  <c r="A2940" i="1"/>
  <c r="L2939" i="1"/>
  <c r="A2939" i="1"/>
  <c r="L2938" i="1"/>
  <c r="A2938" i="1"/>
  <c r="L2937" i="1"/>
  <c r="A2937" i="1"/>
  <c r="A2936" i="1"/>
  <c r="A2935" i="1"/>
  <c r="A2934" i="1"/>
  <c r="A2933" i="1"/>
  <c r="A2932" i="1"/>
  <c r="A2931" i="1"/>
  <c r="A2930" i="1"/>
  <c r="A2929" i="1"/>
  <c r="A2928" i="1"/>
  <c r="A2927" i="1"/>
  <c r="A2926" i="1"/>
  <c r="A2925" i="1"/>
  <c r="A2924" i="1"/>
  <c r="A2923" i="1"/>
  <c r="A2922" i="1"/>
  <c r="A2921" i="1"/>
  <c r="A2920" i="1"/>
  <c r="A2919" i="1"/>
  <c r="A2918" i="1"/>
  <c r="A2917" i="1"/>
  <c r="L2916" i="1"/>
  <c r="A2916" i="1"/>
  <c r="L2915" i="1"/>
  <c r="A2915" i="1"/>
  <c r="L2914" i="1"/>
  <c r="A2914" i="1"/>
  <c r="L2913" i="1"/>
  <c r="A2913" i="1"/>
  <c r="L2912" i="1"/>
  <c r="A2912" i="1"/>
  <c r="L2911" i="1"/>
  <c r="A2911" i="1"/>
  <c r="L2910" i="1"/>
  <c r="A2910" i="1"/>
  <c r="L2909" i="1"/>
  <c r="A2909" i="1"/>
  <c r="L2908" i="1"/>
  <c r="A2908" i="1"/>
  <c r="L2907" i="1"/>
  <c r="A2907" i="1"/>
  <c r="L2906" i="1"/>
  <c r="A2906" i="1"/>
  <c r="L2905" i="1"/>
  <c r="A2905" i="1"/>
  <c r="L2904" i="1"/>
  <c r="A2904" i="1"/>
  <c r="L2903" i="1"/>
  <c r="A2903" i="1"/>
  <c r="L2902" i="1"/>
  <c r="A2902" i="1"/>
  <c r="L2901" i="1"/>
  <c r="A2901" i="1"/>
  <c r="L2900" i="1"/>
  <c r="A2900" i="1"/>
  <c r="L2899" i="1"/>
  <c r="A2899" i="1"/>
  <c r="L2898" i="1"/>
  <c r="A2898" i="1"/>
  <c r="L2897" i="1"/>
  <c r="A2897" i="1"/>
  <c r="L2896" i="1"/>
  <c r="A2896" i="1"/>
  <c r="L2895" i="1"/>
  <c r="A2895" i="1"/>
  <c r="L2894" i="1"/>
  <c r="A2894" i="1"/>
  <c r="L2893" i="1"/>
  <c r="A2893" i="1"/>
  <c r="L2892" i="1"/>
  <c r="A2892" i="1"/>
  <c r="L2891" i="1"/>
  <c r="A2891" i="1"/>
  <c r="L2890" i="1"/>
  <c r="A2890" i="1"/>
  <c r="L2889" i="1"/>
  <c r="A2889" i="1"/>
  <c r="L2888" i="1"/>
  <c r="A2888" i="1"/>
  <c r="L2887" i="1"/>
  <c r="A2887" i="1"/>
  <c r="L2886" i="1"/>
  <c r="A2886" i="1"/>
  <c r="L2885" i="1"/>
  <c r="A2885" i="1"/>
  <c r="L2884" i="1"/>
  <c r="A2884" i="1"/>
  <c r="L2883" i="1"/>
  <c r="A2883" i="1"/>
  <c r="L2882" i="1"/>
  <c r="A2882" i="1"/>
  <c r="L2881" i="1"/>
  <c r="A2881" i="1"/>
  <c r="L2880" i="1"/>
  <c r="A2880" i="1"/>
  <c r="L2879" i="1"/>
  <c r="A2879" i="1"/>
  <c r="L2878" i="1"/>
  <c r="A2878" i="1"/>
  <c r="L2877" i="1"/>
  <c r="A2877" i="1"/>
  <c r="L2876" i="1"/>
  <c r="A2876" i="1"/>
  <c r="L2875" i="1"/>
  <c r="A2875" i="1"/>
  <c r="L2874" i="1"/>
  <c r="A2874" i="1"/>
  <c r="L2873" i="1"/>
  <c r="A2873" i="1"/>
  <c r="L2872" i="1"/>
  <c r="A2872" i="1"/>
  <c r="L2871" i="1"/>
  <c r="A2871" i="1"/>
  <c r="L2870" i="1"/>
  <c r="A2870" i="1"/>
  <c r="L2869" i="1"/>
  <c r="A2869" i="1"/>
  <c r="L2868" i="1"/>
  <c r="A2868" i="1"/>
  <c r="L2867" i="1"/>
  <c r="A2867" i="1"/>
  <c r="L2866" i="1"/>
  <c r="A2866" i="1"/>
  <c r="L2865" i="1"/>
  <c r="A2865" i="1"/>
  <c r="L2864" i="1"/>
  <c r="A2864" i="1"/>
  <c r="L2863" i="1"/>
  <c r="A2863" i="1"/>
  <c r="L2862" i="1"/>
  <c r="A2862" i="1"/>
  <c r="L2861" i="1"/>
  <c r="A2861" i="1"/>
  <c r="L2860" i="1"/>
  <c r="A2860" i="1"/>
  <c r="L2859" i="1"/>
  <c r="A2859" i="1"/>
  <c r="L2858" i="1"/>
  <c r="A2858" i="1"/>
  <c r="L2857" i="1"/>
  <c r="A2857" i="1"/>
  <c r="L2856" i="1"/>
  <c r="A2856" i="1"/>
  <c r="L2855" i="1"/>
  <c r="A2855" i="1"/>
  <c r="L2854" i="1"/>
  <c r="A2854" i="1"/>
  <c r="L2853" i="1"/>
  <c r="A2853" i="1"/>
  <c r="L2852" i="1"/>
  <c r="A2852" i="1"/>
  <c r="L2851" i="1"/>
  <c r="A2851" i="1"/>
  <c r="L2850" i="1"/>
  <c r="A2850" i="1"/>
  <c r="L2849" i="1"/>
  <c r="A2849" i="1"/>
  <c r="L2848" i="1"/>
  <c r="A2848" i="1"/>
  <c r="L2847" i="1"/>
  <c r="A2847" i="1"/>
  <c r="L2846" i="1"/>
  <c r="A2846" i="1"/>
  <c r="L2845" i="1"/>
  <c r="A2845" i="1"/>
  <c r="L2844" i="1"/>
  <c r="A2844" i="1"/>
  <c r="L2843" i="1"/>
  <c r="A2843" i="1"/>
  <c r="L2842" i="1"/>
  <c r="A2842" i="1"/>
  <c r="L2841" i="1"/>
  <c r="A2841" i="1"/>
  <c r="L2840" i="1"/>
  <c r="A2840" i="1"/>
  <c r="L2839" i="1"/>
  <c r="A2839" i="1"/>
  <c r="L2838" i="1"/>
  <c r="A2838" i="1"/>
  <c r="L2837" i="1"/>
  <c r="A2837" i="1"/>
  <c r="L2836" i="1"/>
  <c r="A2836" i="1"/>
  <c r="L2835" i="1"/>
  <c r="A2835" i="1"/>
  <c r="L2834" i="1"/>
  <c r="A2834" i="1"/>
  <c r="L2833" i="1"/>
  <c r="A2833" i="1"/>
  <c r="L2832" i="1"/>
  <c r="A2832" i="1"/>
  <c r="L2831" i="1"/>
  <c r="A2831" i="1"/>
  <c r="A2830" i="1"/>
  <c r="L2829" i="1"/>
  <c r="A2829" i="1"/>
  <c r="L2828" i="1"/>
  <c r="A2828" i="1"/>
  <c r="L2827" i="1"/>
  <c r="A2827" i="1"/>
  <c r="L2826" i="1"/>
  <c r="A2826" i="1"/>
  <c r="L2825" i="1"/>
  <c r="A2825" i="1"/>
  <c r="L2824" i="1"/>
  <c r="A2824" i="1"/>
  <c r="L2823" i="1"/>
  <c r="A2823" i="1"/>
  <c r="L2822" i="1"/>
  <c r="A2822" i="1"/>
  <c r="L2821" i="1"/>
  <c r="A2821" i="1"/>
  <c r="L2820" i="1"/>
  <c r="A2820" i="1"/>
  <c r="L2819" i="1"/>
  <c r="A2819" i="1"/>
  <c r="L2818" i="1"/>
  <c r="A2818" i="1"/>
  <c r="L2817" i="1"/>
  <c r="A2817" i="1"/>
  <c r="L2816" i="1"/>
  <c r="A2816" i="1"/>
  <c r="L2815" i="1"/>
  <c r="A2815" i="1"/>
  <c r="L2814" i="1"/>
  <c r="A2814" i="1"/>
  <c r="L2813" i="1"/>
  <c r="A2813" i="1"/>
  <c r="L2812" i="1"/>
  <c r="A2812" i="1"/>
  <c r="L2811" i="1"/>
  <c r="A2811" i="1"/>
  <c r="L2810" i="1"/>
  <c r="A2810" i="1"/>
  <c r="L2809" i="1"/>
  <c r="A2809" i="1"/>
  <c r="L2808" i="1"/>
  <c r="A2808" i="1"/>
  <c r="L2807" i="1"/>
  <c r="A2807" i="1"/>
  <c r="L2806" i="1"/>
  <c r="A2806" i="1"/>
  <c r="L2805" i="1"/>
  <c r="A2805" i="1"/>
  <c r="L2804" i="1"/>
  <c r="A2804" i="1"/>
  <c r="L2803" i="1"/>
  <c r="A2803" i="1"/>
  <c r="L2802" i="1"/>
  <c r="A2802" i="1"/>
  <c r="L2801" i="1"/>
  <c r="A2801" i="1"/>
  <c r="L2800" i="1"/>
  <c r="A2800" i="1"/>
  <c r="L2799" i="1"/>
  <c r="A2799" i="1"/>
  <c r="L2798" i="1"/>
  <c r="A2798" i="1"/>
  <c r="L2797" i="1"/>
  <c r="A2797" i="1"/>
  <c r="L2796" i="1"/>
  <c r="A2796" i="1"/>
  <c r="L2795" i="1"/>
  <c r="A2795" i="1"/>
  <c r="L2794" i="1"/>
  <c r="A2794" i="1"/>
  <c r="L2793" i="1"/>
  <c r="A2793" i="1"/>
  <c r="L2792" i="1"/>
  <c r="A2792" i="1"/>
  <c r="L2791" i="1"/>
  <c r="A2791" i="1"/>
  <c r="L2790" i="1"/>
  <c r="A2790" i="1"/>
  <c r="L2789" i="1"/>
  <c r="A2789" i="1"/>
  <c r="L2788" i="1"/>
  <c r="A2788" i="1"/>
  <c r="L2787" i="1"/>
  <c r="A2787" i="1"/>
  <c r="L2786" i="1"/>
  <c r="A2786" i="1"/>
  <c r="L2785" i="1"/>
  <c r="A2785" i="1"/>
  <c r="L2784" i="1"/>
  <c r="A2784" i="1"/>
  <c r="L2783" i="1"/>
  <c r="A2783" i="1"/>
  <c r="L2782" i="1"/>
  <c r="A2782" i="1"/>
  <c r="L2781" i="1"/>
  <c r="A2781" i="1"/>
  <c r="L2780" i="1"/>
  <c r="A2780" i="1"/>
  <c r="L2779" i="1"/>
  <c r="A2779" i="1"/>
  <c r="L2778" i="1"/>
  <c r="A2778" i="1"/>
  <c r="L2777" i="1"/>
  <c r="A2777" i="1"/>
  <c r="L2776" i="1"/>
  <c r="A2776" i="1"/>
  <c r="L2775" i="1"/>
  <c r="A2775" i="1"/>
  <c r="L2774" i="1"/>
  <c r="A2774" i="1"/>
  <c r="L2773" i="1"/>
  <c r="A2773" i="1"/>
  <c r="L2772" i="1"/>
  <c r="A2772" i="1"/>
  <c r="L2771" i="1"/>
  <c r="A2771" i="1"/>
  <c r="L2770" i="1"/>
  <c r="A2770" i="1"/>
  <c r="L2769" i="1"/>
  <c r="A2769" i="1"/>
  <c r="L2768" i="1"/>
  <c r="A2768" i="1"/>
  <c r="L2767" i="1"/>
  <c r="A2767" i="1"/>
  <c r="L2766" i="1"/>
  <c r="A2766" i="1"/>
  <c r="L2765" i="1"/>
  <c r="A2765" i="1"/>
  <c r="L2764" i="1"/>
  <c r="A2764" i="1"/>
  <c r="L2763" i="1"/>
  <c r="A2763" i="1"/>
  <c r="L2762" i="1"/>
  <c r="A2762" i="1"/>
  <c r="L2761" i="1"/>
  <c r="A2761" i="1"/>
  <c r="L2760" i="1"/>
  <c r="A2760" i="1"/>
  <c r="L2759" i="1"/>
  <c r="A2759" i="1"/>
  <c r="L2758" i="1"/>
  <c r="A2758" i="1"/>
  <c r="L2757" i="1"/>
  <c r="A2757" i="1"/>
  <c r="L2756" i="1"/>
  <c r="A2756" i="1"/>
  <c r="L2755" i="1"/>
  <c r="A2755" i="1"/>
  <c r="L2754" i="1"/>
  <c r="A2754" i="1"/>
  <c r="L2753" i="1"/>
  <c r="A2753" i="1"/>
  <c r="L2752" i="1"/>
  <c r="A2752" i="1"/>
  <c r="L2751" i="1"/>
  <c r="A2751" i="1"/>
  <c r="L2750" i="1"/>
  <c r="A2750" i="1"/>
  <c r="L2749" i="1"/>
  <c r="A2749" i="1"/>
  <c r="L2748" i="1"/>
  <c r="A2748" i="1"/>
  <c r="L2747" i="1"/>
  <c r="A2747" i="1"/>
  <c r="L2746" i="1"/>
  <c r="A2746" i="1"/>
  <c r="L2745" i="1"/>
  <c r="A2745" i="1"/>
  <c r="L2744" i="1"/>
  <c r="A2744" i="1"/>
  <c r="L2743" i="1"/>
  <c r="A2743" i="1"/>
  <c r="L2742" i="1"/>
  <c r="A2742" i="1"/>
  <c r="A2741" i="1"/>
  <c r="L2740" i="1"/>
  <c r="A2740" i="1"/>
  <c r="L2739" i="1"/>
  <c r="A2739" i="1"/>
  <c r="L2738" i="1"/>
  <c r="A2738" i="1"/>
  <c r="L2737" i="1"/>
  <c r="A2737" i="1"/>
  <c r="L2736" i="1"/>
  <c r="A2736" i="1"/>
  <c r="L2735" i="1"/>
  <c r="A2735" i="1"/>
  <c r="L2734" i="1"/>
  <c r="A2734" i="1"/>
  <c r="L2733" i="1"/>
  <c r="A2733" i="1"/>
  <c r="L2732" i="1"/>
  <c r="A2732" i="1"/>
  <c r="L2731" i="1"/>
  <c r="A2731" i="1"/>
  <c r="L2730" i="1"/>
  <c r="A2730" i="1"/>
  <c r="L2729" i="1"/>
  <c r="A2729" i="1"/>
  <c r="L2728" i="1"/>
  <c r="A2728" i="1"/>
  <c r="L2727" i="1"/>
  <c r="A2727" i="1"/>
  <c r="L2726" i="1"/>
  <c r="A2726" i="1"/>
  <c r="L2725" i="1"/>
  <c r="A2725" i="1"/>
  <c r="L2724" i="1"/>
  <c r="A2724" i="1"/>
  <c r="L2723" i="1"/>
  <c r="A2723" i="1"/>
  <c r="L2722" i="1"/>
  <c r="A2722" i="1"/>
  <c r="L2721" i="1"/>
  <c r="A2721" i="1"/>
  <c r="L2720" i="1"/>
  <c r="A2720" i="1"/>
  <c r="L2719" i="1"/>
  <c r="A2719" i="1"/>
  <c r="L2718" i="1"/>
  <c r="A2718" i="1"/>
  <c r="L2717" i="1"/>
  <c r="A2717" i="1"/>
  <c r="L2716" i="1"/>
  <c r="A2716" i="1"/>
  <c r="L2715" i="1"/>
  <c r="A2715" i="1"/>
  <c r="L2714" i="1"/>
  <c r="A2714" i="1"/>
  <c r="L2713" i="1"/>
  <c r="A2713" i="1"/>
  <c r="L2712" i="1"/>
  <c r="A2712" i="1"/>
  <c r="L2711" i="1"/>
  <c r="A2711" i="1"/>
  <c r="L2710" i="1"/>
  <c r="A2710" i="1"/>
  <c r="L2709" i="1"/>
  <c r="A2709" i="1"/>
  <c r="L2708" i="1"/>
  <c r="A2708" i="1"/>
  <c r="L2707" i="1"/>
  <c r="A2707" i="1"/>
  <c r="L2706" i="1"/>
  <c r="A2706" i="1"/>
  <c r="L2705" i="1"/>
  <c r="A2705" i="1"/>
  <c r="L2704" i="1"/>
  <c r="A2704" i="1"/>
  <c r="L2703" i="1"/>
  <c r="A2703" i="1"/>
  <c r="L2702" i="1"/>
  <c r="A2702" i="1"/>
  <c r="L2701" i="1"/>
  <c r="A2701" i="1"/>
  <c r="L2700" i="1"/>
  <c r="A2700" i="1"/>
  <c r="L2699" i="1"/>
  <c r="A2699" i="1"/>
  <c r="L2698" i="1"/>
  <c r="A2698" i="1"/>
  <c r="L2697" i="1"/>
  <c r="A2697" i="1"/>
  <c r="L2696" i="1"/>
  <c r="A2696" i="1"/>
  <c r="L2695" i="1"/>
  <c r="A2695" i="1"/>
  <c r="L2694" i="1"/>
  <c r="A2694" i="1"/>
  <c r="L2693" i="1"/>
  <c r="A2693" i="1"/>
  <c r="L2692" i="1"/>
  <c r="A2692" i="1"/>
  <c r="L2691" i="1"/>
  <c r="A2691" i="1"/>
  <c r="L2690" i="1"/>
  <c r="A2690" i="1"/>
  <c r="L2689" i="1"/>
  <c r="A2689" i="1"/>
  <c r="L2688" i="1"/>
  <c r="A2688" i="1"/>
  <c r="L2687" i="1"/>
  <c r="A2687" i="1"/>
  <c r="L2686" i="1"/>
  <c r="A2686" i="1"/>
  <c r="L2685" i="1"/>
  <c r="A2685" i="1"/>
  <c r="L2684" i="1"/>
  <c r="A2684" i="1"/>
  <c r="L2683" i="1"/>
  <c r="A2683" i="1"/>
  <c r="L2682" i="1"/>
  <c r="A2682" i="1"/>
  <c r="L2681" i="1"/>
  <c r="A2681" i="1"/>
  <c r="L2680" i="1"/>
  <c r="A2680" i="1"/>
  <c r="L2679" i="1"/>
  <c r="A2679" i="1"/>
  <c r="L2678" i="1"/>
  <c r="A2678" i="1"/>
  <c r="L2677" i="1"/>
  <c r="A2677" i="1"/>
  <c r="L2676" i="1"/>
  <c r="A2676" i="1"/>
  <c r="L2675" i="1"/>
  <c r="A2675" i="1"/>
  <c r="L2674" i="1"/>
  <c r="A2674" i="1"/>
  <c r="L2673" i="1"/>
  <c r="A2673" i="1"/>
  <c r="L2672" i="1"/>
  <c r="A2672" i="1"/>
  <c r="L2671" i="1"/>
  <c r="A2671" i="1"/>
  <c r="L2670" i="1"/>
  <c r="A2670" i="1"/>
  <c r="L2669" i="1"/>
  <c r="A2669" i="1"/>
  <c r="L2668" i="1"/>
  <c r="A2668" i="1"/>
  <c r="L2667" i="1"/>
  <c r="A2667" i="1"/>
  <c r="L2666" i="1"/>
  <c r="A2666" i="1"/>
  <c r="L2665" i="1"/>
  <c r="A2665" i="1"/>
  <c r="L2664" i="1"/>
  <c r="A2664" i="1"/>
  <c r="L2663" i="1"/>
  <c r="A2663" i="1"/>
  <c r="L2662" i="1"/>
  <c r="A2662" i="1"/>
  <c r="L2661" i="1"/>
  <c r="A2661" i="1"/>
  <c r="L2660" i="1"/>
  <c r="A2660" i="1"/>
  <c r="L2659" i="1"/>
  <c r="A2659" i="1"/>
  <c r="L2658" i="1"/>
  <c r="A2658" i="1"/>
  <c r="L2657" i="1"/>
  <c r="A2657" i="1"/>
  <c r="L2656" i="1"/>
  <c r="A2656" i="1"/>
  <c r="L2655" i="1"/>
  <c r="A2655" i="1"/>
  <c r="L2654" i="1"/>
  <c r="A2654" i="1"/>
  <c r="L2653" i="1"/>
  <c r="A2653" i="1"/>
  <c r="L2652" i="1"/>
  <c r="A2652" i="1"/>
  <c r="L2651" i="1"/>
  <c r="A2651" i="1"/>
  <c r="A2650" i="1"/>
  <c r="L2649" i="1"/>
  <c r="A2649" i="1"/>
  <c r="L2648"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L2559" i="1"/>
  <c r="A2559" i="1"/>
  <c r="A2558" i="1"/>
  <c r="A2557" i="1"/>
  <c r="L2556" i="1"/>
  <c r="A2556" i="1"/>
  <c r="L2555" i="1"/>
  <c r="A2555" i="1"/>
  <c r="L2554" i="1"/>
  <c r="A2554" i="1"/>
  <c r="L2553" i="1"/>
  <c r="A2553" i="1"/>
  <c r="A2552" i="1"/>
  <c r="L2551" i="1"/>
  <c r="A2551" i="1"/>
  <c r="L2550" i="1"/>
  <c r="A2550" i="1"/>
  <c r="L2549" i="1"/>
  <c r="A2549" i="1"/>
  <c r="L2548" i="1"/>
  <c r="A2548" i="1"/>
  <c r="L2547" i="1"/>
  <c r="A2547" i="1"/>
  <c r="L2546" i="1"/>
  <c r="A2546" i="1"/>
  <c r="A2545" i="1"/>
  <c r="L2544" i="1"/>
  <c r="A2544" i="1"/>
  <c r="L2543" i="1"/>
  <c r="A2543" i="1"/>
  <c r="L2542" i="1"/>
  <c r="A2542" i="1"/>
  <c r="L2541" i="1"/>
  <c r="A2541" i="1"/>
  <c r="A2540" i="1"/>
  <c r="L2539" i="1"/>
  <c r="A2539" i="1"/>
  <c r="A2538" i="1"/>
  <c r="A2537" i="1"/>
  <c r="A2536" i="1"/>
  <c r="A2535" i="1"/>
  <c r="A2534" i="1"/>
  <c r="A2533" i="1"/>
  <c r="A2532" i="1"/>
  <c r="A2531" i="1"/>
  <c r="A2530" i="1"/>
  <c r="A2529" i="1"/>
  <c r="A2528" i="1"/>
  <c r="A2527" i="1"/>
  <c r="A2526" i="1"/>
  <c r="A2525" i="1"/>
  <c r="A2524" i="1"/>
  <c r="A2523" i="1"/>
  <c r="A2522" i="1"/>
  <c r="A2521" i="1"/>
  <c r="A2520" i="1"/>
  <c r="A2519" i="1"/>
  <c r="L2518" i="1"/>
  <c r="A2518" i="1"/>
  <c r="A2517" i="1"/>
  <c r="A2516" i="1"/>
  <c r="A2515" i="1"/>
  <c r="A2514" i="1"/>
  <c r="A2513" i="1"/>
  <c r="A2512" i="1"/>
  <c r="L2511" i="1"/>
  <c r="A2511" i="1"/>
  <c r="A2510" i="1"/>
  <c r="A2509" i="1"/>
  <c r="A2508" i="1"/>
  <c r="A2507" i="1"/>
  <c r="A2506" i="1"/>
  <c r="A2505" i="1"/>
  <c r="L2504"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L2468" i="1"/>
  <c r="A2468" i="1"/>
  <c r="L2467" i="1"/>
  <c r="A2467" i="1"/>
  <c r="L2466" i="1"/>
  <c r="A2466" i="1"/>
  <c r="L2465" i="1"/>
  <c r="A2465" i="1"/>
  <c r="L2464" i="1"/>
  <c r="A2464" i="1"/>
  <c r="L2463" i="1"/>
  <c r="A2463" i="1"/>
  <c r="L2462" i="1"/>
  <c r="A2462" i="1"/>
  <c r="L2461" i="1"/>
  <c r="A2461" i="1"/>
  <c r="L2460" i="1"/>
  <c r="A2460" i="1"/>
  <c r="L2459" i="1"/>
  <c r="A2459" i="1"/>
  <c r="L2458" i="1"/>
  <c r="A2458" i="1"/>
  <c r="L2457" i="1"/>
  <c r="A2457" i="1"/>
  <c r="L2456" i="1"/>
  <c r="A2456" i="1"/>
  <c r="L2455" i="1"/>
  <c r="A2455" i="1"/>
  <c r="L2454" i="1"/>
  <c r="A2454" i="1"/>
  <c r="L2453" i="1"/>
  <c r="A2453" i="1"/>
  <c r="L2452" i="1"/>
  <c r="A2452" i="1"/>
  <c r="L2451" i="1"/>
  <c r="A2451" i="1"/>
  <c r="L2450" i="1"/>
  <c r="A2450" i="1"/>
  <c r="L2449" i="1"/>
  <c r="A2449" i="1"/>
  <c r="L2448" i="1"/>
  <c r="A2448" i="1"/>
  <c r="L2447" i="1"/>
  <c r="A2447" i="1"/>
  <c r="L2446" i="1"/>
  <c r="A2446" i="1"/>
  <c r="L2445" i="1"/>
  <c r="A2445" i="1"/>
  <c r="L2444" i="1"/>
  <c r="A2444" i="1"/>
  <c r="L2443" i="1"/>
  <c r="A2443" i="1"/>
  <c r="L2442" i="1"/>
  <c r="A2442" i="1"/>
  <c r="L2441" i="1"/>
  <c r="A2441" i="1"/>
  <c r="L2440" i="1"/>
  <c r="A2440" i="1"/>
  <c r="L2439" i="1"/>
  <c r="A2439" i="1"/>
  <c r="L2438" i="1"/>
  <c r="A2438" i="1"/>
  <c r="L2437" i="1"/>
  <c r="A2437" i="1"/>
  <c r="L2436" i="1"/>
  <c r="A2436" i="1"/>
  <c r="L2435" i="1"/>
  <c r="A2435" i="1"/>
  <c r="L2434" i="1"/>
  <c r="A2434" i="1"/>
  <c r="L2433" i="1"/>
  <c r="A2433" i="1"/>
  <c r="L2432" i="1"/>
  <c r="A2432" i="1"/>
  <c r="L2431" i="1"/>
  <c r="A2431" i="1"/>
  <c r="L2430" i="1"/>
  <c r="A2430" i="1"/>
  <c r="L2429" i="1"/>
  <c r="A2429" i="1"/>
  <c r="L2428" i="1"/>
  <c r="A2428" i="1"/>
  <c r="L2427" i="1"/>
  <c r="A2427" i="1"/>
  <c r="L2426" i="1"/>
  <c r="A2426" i="1"/>
  <c r="L2425"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L2339" i="1"/>
  <c r="A2339" i="1"/>
  <c r="L2338" i="1"/>
  <c r="A2338" i="1"/>
  <c r="L2337" i="1"/>
  <c r="A2337" i="1"/>
  <c r="L2336" i="1"/>
  <c r="A2336" i="1"/>
  <c r="L2335" i="1"/>
  <c r="A2335" i="1"/>
  <c r="L2334" i="1"/>
  <c r="A2334" i="1"/>
  <c r="L2333" i="1"/>
  <c r="A2333" i="1"/>
  <c r="A2332" i="1"/>
  <c r="A2331" i="1"/>
  <c r="A2330" i="1"/>
  <c r="A2329" i="1"/>
  <c r="L2328" i="1"/>
  <c r="A2328" i="1"/>
  <c r="L2327" i="1"/>
  <c r="A2327" i="1"/>
  <c r="L2326" i="1"/>
  <c r="A2326" i="1"/>
  <c r="L2325" i="1"/>
  <c r="A2325" i="1"/>
  <c r="L2324" i="1"/>
  <c r="A2324" i="1"/>
  <c r="L2323" i="1"/>
  <c r="A2323" i="1"/>
  <c r="L2322"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L2282" i="1"/>
  <c r="A2282" i="1"/>
  <c r="A2281" i="1"/>
  <c r="L2280" i="1"/>
  <c r="A2280" i="1"/>
  <c r="L2279" i="1"/>
  <c r="A2279" i="1"/>
  <c r="L2278" i="1"/>
  <c r="A2278" i="1"/>
  <c r="L2277" i="1"/>
  <c r="A2277" i="1"/>
  <c r="L2276" i="1"/>
  <c r="A2276" i="1"/>
  <c r="L2275" i="1"/>
  <c r="A2275" i="1"/>
  <c r="L2274" i="1"/>
  <c r="A2274" i="1"/>
  <c r="L2273" i="1"/>
  <c r="A2273" i="1"/>
  <c r="L2272" i="1"/>
  <c r="A2272" i="1"/>
  <c r="L2271" i="1"/>
  <c r="A2271" i="1"/>
  <c r="L2270" i="1"/>
  <c r="A2270" i="1"/>
  <c r="L2269" i="1"/>
  <c r="A2269" i="1"/>
  <c r="L2268" i="1"/>
  <c r="A2268" i="1"/>
  <c r="L2267" i="1"/>
  <c r="A2267" i="1"/>
  <c r="L2266" i="1"/>
  <c r="A2266" i="1"/>
  <c r="L2265" i="1"/>
  <c r="A2265" i="1"/>
  <c r="L2264" i="1"/>
  <c r="A2264" i="1"/>
  <c r="L2263" i="1"/>
  <c r="A2263" i="1"/>
  <c r="L2262" i="1"/>
  <c r="A2262" i="1"/>
  <c r="L2261" i="1"/>
  <c r="A2261" i="1"/>
  <c r="L2260" i="1"/>
  <c r="A2260" i="1"/>
  <c r="L2259" i="1"/>
  <c r="A2259" i="1"/>
  <c r="L2258" i="1"/>
  <c r="A2258" i="1"/>
  <c r="L2257" i="1"/>
  <c r="A2257" i="1"/>
  <c r="A2256" i="1"/>
  <c r="L2255" i="1"/>
  <c r="A2255" i="1"/>
  <c r="A2254" i="1"/>
  <c r="L2253" i="1"/>
  <c r="A2253" i="1"/>
  <c r="L2252" i="1"/>
  <c r="A2252" i="1"/>
  <c r="L2251" i="1"/>
  <c r="A2251" i="1"/>
  <c r="L2250" i="1"/>
  <c r="A2250" i="1"/>
  <c r="L2249" i="1"/>
  <c r="A2249" i="1"/>
  <c r="L2248" i="1"/>
  <c r="A2248" i="1"/>
  <c r="L2247" i="1"/>
  <c r="A2247" i="1"/>
  <c r="L2246" i="1"/>
  <c r="A2246" i="1"/>
  <c r="L2245" i="1"/>
  <c r="A2245" i="1"/>
  <c r="L2244" i="1"/>
  <c r="A2244" i="1"/>
  <c r="L2243" i="1"/>
  <c r="A2243" i="1"/>
  <c r="L2242" i="1"/>
  <c r="A2242" i="1"/>
  <c r="L2241" i="1"/>
  <c r="A2241" i="1"/>
  <c r="L2240" i="1"/>
  <c r="A2240" i="1"/>
  <c r="L2239" i="1"/>
  <c r="A2239" i="1"/>
  <c r="L2238" i="1"/>
  <c r="A2238" i="1"/>
  <c r="L2237" i="1"/>
  <c r="A2237" i="1"/>
  <c r="L2236" i="1"/>
  <c r="A2236" i="1"/>
  <c r="L2235" i="1"/>
  <c r="A2235" i="1"/>
  <c r="A2234" i="1"/>
  <c r="A2233" i="1"/>
  <c r="A2232" i="1"/>
  <c r="A2231" i="1"/>
  <c r="A2230" i="1"/>
  <c r="A2229" i="1"/>
  <c r="A2228" i="1"/>
  <c r="A2227" i="1"/>
  <c r="A2226" i="1"/>
  <c r="L2225" i="1"/>
  <c r="A2225" i="1"/>
  <c r="A2224" i="1"/>
  <c r="A2223" i="1"/>
  <c r="A2222" i="1"/>
  <c r="A2221" i="1"/>
  <c r="A2220" i="1"/>
  <c r="A2219" i="1"/>
  <c r="A2218" i="1"/>
  <c r="A2217" i="1"/>
  <c r="A2216" i="1"/>
  <c r="A2215" i="1"/>
  <c r="A2214" i="1"/>
  <c r="A2213" i="1"/>
  <c r="A2212" i="1"/>
  <c r="L2211"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L2166" i="1"/>
  <c r="A2166" i="1"/>
  <c r="L2165" i="1"/>
  <c r="A2165" i="1"/>
  <c r="L2164" i="1"/>
  <c r="A2164" i="1"/>
  <c r="L2163" i="1"/>
  <c r="A2163" i="1"/>
  <c r="L2162" i="1"/>
  <c r="A2162" i="1"/>
  <c r="L2161" i="1"/>
  <c r="A2161" i="1"/>
  <c r="L2160" i="1"/>
  <c r="A2160" i="1"/>
  <c r="A2159" i="1"/>
  <c r="A2158" i="1"/>
  <c r="A2157" i="1"/>
  <c r="A2156" i="1"/>
  <c r="A2155" i="1"/>
  <c r="A2154" i="1"/>
  <c r="A2153" i="1"/>
  <c r="A2152" i="1"/>
  <c r="A2150" i="1"/>
  <c r="A2149"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0" i="1"/>
  <c r="A2119" i="1"/>
  <c r="A2118" i="1"/>
  <c r="A2117" i="1"/>
  <c r="A2116" i="1"/>
  <c r="A2115" i="1"/>
  <c r="A2114" i="1"/>
  <c r="A2113" i="1"/>
  <c r="A2112" i="1"/>
  <c r="A2111" i="1"/>
  <c r="A2110" i="1"/>
  <c r="A2109" i="1"/>
  <c r="A2108" i="1"/>
  <c r="A2107" i="1"/>
  <c r="A2106" i="1"/>
  <c r="A2105" i="1"/>
  <c r="A2104" i="1"/>
  <c r="A2103"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6" i="1"/>
  <c r="A1875" i="1"/>
  <c r="A1874" i="1"/>
  <c r="A1873" i="1"/>
  <c r="A1872" i="1"/>
  <c r="A1871" i="1"/>
  <c r="A1870" i="1"/>
  <c r="A1869" i="1"/>
  <c r="A1868" i="1"/>
  <c r="A1867" i="1"/>
  <c r="A1866" i="1"/>
  <c r="A1865"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L1831"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L1787"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L1641" i="1"/>
  <c r="A1641" i="1"/>
  <c r="L1640" i="1"/>
  <c r="A1640" i="1"/>
  <c r="L1639" i="1"/>
  <c r="A1639" i="1"/>
  <c r="L1638" i="1"/>
  <c r="A1638" i="1"/>
  <c r="L1637" i="1"/>
  <c r="A1637" i="1"/>
  <c r="L1636" i="1"/>
  <c r="A1636" i="1"/>
  <c r="L1635" i="1"/>
  <c r="A1635" i="1"/>
  <c r="L1634" i="1"/>
  <c r="A1634" i="1"/>
  <c r="L1633" i="1"/>
  <c r="A1633" i="1"/>
  <c r="L1632" i="1"/>
  <c r="A1632" i="1"/>
  <c r="L1631" i="1"/>
  <c r="A1631" i="1"/>
  <c r="L1630" i="1"/>
  <c r="A1630" i="1"/>
  <c r="L1629" i="1"/>
  <c r="A1629" i="1"/>
  <c r="L1628" i="1"/>
  <c r="A1628" i="1"/>
  <c r="L1627" i="1"/>
  <c r="A1627" i="1"/>
  <c r="L1626" i="1"/>
  <c r="A1626" i="1"/>
  <c r="L1625" i="1"/>
  <c r="A1625" i="1"/>
  <c r="L1624" i="1"/>
  <c r="A1624" i="1"/>
  <c r="L1623" i="1"/>
  <c r="A1623" i="1"/>
  <c r="L1622" i="1"/>
  <c r="A1622" i="1"/>
  <c r="L1621" i="1"/>
  <c r="A1621" i="1"/>
  <c r="L1620" i="1"/>
  <c r="A1620" i="1"/>
  <c r="L1619" i="1"/>
  <c r="A1619" i="1"/>
  <c r="L1618"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L1570" i="1"/>
  <c r="A1570" i="1"/>
  <c r="L1569" i="1"/>
  <c r="A1569" i="1"/>
  <c r="L1568" i="1"/>
  <c r="A1568" i="1"/>
  <c r="L1567" i="1"/>
  <c r="A1567" i="1"/>
  <c r="L1566" i="1"/>
  <c r="A1566" i="1"/>
  <c r="L1565" i="1"/>
  <c r="A1565" i="1"/>
  <c r="L1564" i="1"/>
  <c r="A1564" i="1"/>
  <c r="A1563" i="1"/>
  <c r="A1562" i="1"/>
  <c r="A1561" i="1"/>
  <c r="A1560" i="1"/>
  <c r="A1559" i="1"/>
  <c r="A1558" i="1"/>
  <c r="A1557" i="1"/>
  <c r="A1556" i="1"/>
  <c r="A1555" i="1"/>
  <c r="A1554" i="1"/>
  <c r="A1553" i="1"/>
  <c r="A1552" i="1"/>
  <c r="A1551" i="1"/>
  <c r="A1550" i="1"/>
  <c r="A1549" i="1"/>
  <c r="L1548"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L1497"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L1428"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L1357" i="1"/>
  <c r="A1357" i="1"/>
  <c r="L1356" i="1"/>
  <c r="A1356" i="1"/>
  <c r="L1355" i="1"/>
  <c r="A1355" i="1"/>
  <c r="L1354" i="1"/>
  <c r="A1354" i="1"/>
  <c r="L1353" i="1"/>
  <c r="A1353" i="1"/>
  <c r="L1352" i="1"/>
  <c r="A1352" i="1"/>
  <c r="L1351" i="1"/>
  <c r="A1351" i="1"/>
  <c r="A1350" i="1"/>
  <c r="A1349" i="1"/>
  <c r="L1348" i="1"/>
  <c r="A1348" i="1"/>
  <c r="L1347" i="1"/>
  <c r="A1347" i="1"/>
  <c r="L1346" i="1"/>
  <c r="A1346" i="1"/>
  <c r="L1345" i="1"/>
  <c r="A1345" i="1"/>
  <c r="L1344" i="1"/>
  <c r="A1344" i="1"/>
  <c r="L1343" i="1"/>
  <c r="A1343" i="1"/>
  <c r="L1342"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L1281" i="1"/>
  <c r="A1281" i="1"/>
  <c r="L1280"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L1154"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L1107" i="1"/>
  <c r="A1107" i="1"/>
  <c r="A1106" i="1"/>
  <c r="A1105" i="1"/>
  <c r="A1104" i="1"/>
  <c r="A1103" i="1"/>
  <c r="A1102" i="1"/>
  <c r="A1101" i="1"/>
  <c r="L1100"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L1062" i="1"/>
  <c r="A1062" i="1"/>
  <c r="A1061" i="1"/>
  <c r="L1060" i="1"/>
  <c r="A1060" i="1"/>
  <c r="L1059" i="1"/>
  <c r="A1059" i="1"/>
  <c r="L1058" i="1"/>
  <c r="A1058" i="1"/>
  <c r="L1057" i="1"/>
  <c r="A1057" i="1"/>
  <c r="L1056" i="1"/>
  <c r="A1056" i="1"/>
  <c r="L1055" i="1"/>
  <c r="A1055" i="1"/>
  <c r="L1054" i="1"/>
  <c r="A1054" i="1"/>
  <c r="L1053" i="1"/>
  <c r="A1053" i="1"/>
  <c r="L1052" i="1"/>
  <c r="A1052" i="1"/>
  <c r="L1051" i="1"/>
  <c r="A1051" i="1"/>
  <c r="L1050" i="1"/>
  <c r="A1050" i="1"/>
  <c r="L1049"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L959" i="1"/>
  <c r="A959" i="1"/>
  <c r="L958" i="1"/>
  <c r="A958" i="1"/>
  <c r="L957" i="1"/>
  <c r="A957" i="1"/>
  <c r="L956" i="1"/>
  <c r="A956" i="1"/>
  <c r="L955" i="1"/>
  <c r="A955" i="1"/>
  <c r="L954" i="1"/>
  <c r="A954" i="1"/>
  <c r="L953" i="1"/>
  <c r="A953" i="1"/>
  <c r="A952" i="1"/>
  <c r="A951" i="1"/>
  <c r="A950" i="1"/>
  <c r="A949" i="1"/>
  <c r="A948" i="1"/>
  <c r="L947" i="1"/>
  <c r="A947" i="1"/>
  <c r="A946" i="1"/>
  <c r="A945" i="1"/>
  <c r="A944" i="1"/>
  <c r="A943" i="1"/>
  <c r="A942" i="1"/>
  <c r="A941" i="1"/>
  <c r="A940" i="1"/>
  <c r="A939" i="1"/>
  <c r="A938" i="1"/>
  <c r="A937" i="1"/>
  <c r="A936" i="1"/>
  <c r="A935" i="1"/>
  <c r="A934" i="1"/>
  <c r="A933" i="1"/>
  <c r="A932" i="1"/>
  <c r="A931" i="1"/>
  <c r="A930" i="1"/>
  <c r="A929" i="1"/>
  <c r="A928" i="1"/>
  <c r="L927" i="1"/>
  <c r="A927" i="1"/>
  <c r="A926" i="1"/>
  <c r="A925" i="1"/>
  <c r="L924" i="1"/>
  <c r="A924" i="1"/>
  <c r="L923" i="1"/>
  <c r="A923" i="1"/>
  <c r="A922" i="1"/>
  <c r="L921" i="1"/>
  <c r="A921" i="1"/>
  <c r="A920" i="1"/>
  <c r="A919" i="1"/>
  <c r="A918" i="1"/>
  <c r="A917" i="1"/>
  <c r="A916" i="1"/>
  <c r="L915"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0" i="1"/>
  <c r="A879" i="1"/>
  <c r="A878" i="1"/>
  <c r="A877" i="1"/>
  <c r="A876" i="1"/>
  <c r="A875" i="1"/>
  <c r="A874" i="1"/>
  <c r="A873" i="1"/>
  <c r="A872" i="1"/>
  <c r="L871" i="1"/>
  <c r="A871" i="1"/>
  <c r="A870" i="1"/>
  <c r="L869" i="1"/>
  <c r="A869" i="1"/>
  <c r="A868" i="1"/>
  <c r="L867" i="1"/>
  <c r="A867" i="1"/>
  <c r="A866" i="1"/>
  <c r="A865" i="1"/>
  <c r="A864" i="1"/>
  <c r="A863" i="1"/>
  <c r="A862" i="1"/>
  <c r="A861" i="1"/>
  <c r="L860" i="1"/>
  <c r="A860" i="1"/>
  <c r="A859" i="1"/>
  <c r="A858" i="1"/>
  <c r="A857" i="1"/>
  <c r="A856" i="1"/>
  <c r="A855" i="1"/>
  <c r="A854" i="1"/>
  <c r="A853" i="1"/>
  <c r="A852" i="1"/>
  <c r="A851" i="1"/>
  <c r="A850" i="1"/>
  <c r="A849" i="1"/>
  <c r="A848" i="1"/>
  <c r="A847" i="1"/>
  <c r="A846" i="1"/>
  <c r="A844" i="1"/>
  <c r="A843" i="1"/>
  <c r="L842" i="1"/>
  <c r="A842" i="1"/>
  <c r="A841" i="1"/>
  <c r="L840" i="1"/>
  <c r="A840" i="1"/>
  <c r="A839" i="1"/>
  <c r="A838" i="1"/>
  <c r="A837" i="1"/>
  <c r="A836" i="1"/>
  <c r="A835" i="1"/>
  <c r="A834" i="1"/>
  <c r="A833" i="1"/>
  <c r="A832" i="1"/>
  <c r="A831" i="1"/>
  <c r="L830" i="1"/>
  <c r="A830" i="1"/>
  <c r="A829" i="1"/>
  <c r="A828" i="1"/>
  <c r="A827" i="1"/>
  <c r="A826" i="1"/>
  <c r="L825"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L746" i="1"/>
  <c r="A746" i="1"/>
  <c r="A745" i="1"/>
  <c r="A744" i="1"/>
  <c r="A743" i="1"/>
  <c r="A742" i="1"/>
  <c r="A741" i="1"/>
  <c r="A740" i="1"/>
  <c r="A739" i="1"/>
  <c r="A738" i="1"/>
  <c r="A737" i="1"/>
  <c r="A736" i="1"/>
  <c r="A735" i="1"/>
  <c r="A734" i="1"/>
  <c r="A733" i="1"/>
  <c r="A732" i="1"/>
  <c r="A731" i="1"/>
  <c r="A730" i="1"/>
  <c r="A729" i="1"/>
  <c r="A728" i="1"/>
  <c r="A727" i="1"/>
  <c r="L726" i="1"/>
  <c r="A726" i="1"/>
  <c r="A725" i="1"/>
  <c r="A724" i="1"/>
  <c r="L723" i="1"/>
  <c r="A723" i="1"/>
  <c r="A722" i="1"/>
  <c r="A721" i="1"/>
  <c r="A720" i="1"/>
  <c r="A719" i="1"/>
  <c r="A718" i="1"/>
  <c r="A717" i="1"/>
  <c r="L716" i="1"/>
  <c r="A716" i="1"/>
  <c r="A715" i="1"/>
  <c r="L714" i="1"/>
  <c r="A714" i="1"/>
  <c r="L713" i="1"/>
  <c r="A713" i="1"/>
  <c r="A712" i="1"/>
  <c r="A711" i="1"/>
  <c r="A710" i="1"/>
  <c r="A709" i="1"/>
  <c r="L708"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L681" i="1"/>
  <c r="A681" i="1"/>
  <c r="A680" i="1"/>
  <c r="A679" i="1"/>
  <c r="A678" i="1"/>
  <c r="A677" i="1"/>
  <c r="A676" i="1"/>
  <c r="A675" i="1"/>
  <c r="A674" i="1"/>
  <c r="A673" i="1"/>
  <c r="A672" i="1"/>
  <c r="A671" i="1"/>
  <c r="A670" i="1"/>
  <c r="A669" i="1"/>
  <c r="A668" i="1"/>
  <c r="A667" i="1"/>
  <c r="L666" i="1"/>
  <c r="A666" i="1"/>
  <c r="A665" i="1"/>
  <c r="A664" i="1"/>
  <c r="A663" i="1"/>
  <c r="A662" i="1"/>
  <c r="A660" i="1"/>
  <c r="A659" i="1"/>
  <c r="A658" i="1"/>
  <c r="A657" i="1"/>
  <c r="A656" i="1"/>
  <c r="A655" i="1"/>
  <c r="A654" i="1"/>
  <c r="A653" i="1"/>
  <c r="A652" i="1"/>
  <c r="A651" i="1"/>
  <c r="A650" i="1"/>
  <c r="A649" i="1"/>
  <c r="A648" i="1"/>
  <c r="A647" i="1"/>
  <c r="A646" i="1"/>
  <c r="A645" i="1"/>
  <c r="A644" i="1"/>
  <c r="A643" i="1"/>
  <c r="A642" i="1"/>
  <c r="A641" i="1"/>
  <c r="A640" i="1"/>
  <c r="A639" i="1"/>
  <c r="A638" i="1"/>
  <c r="L637" i="1"/>
  <c r="A637" i="1"/>
  <c r="L636" i="1"/>
  <c r="A636" i="1"/>
  <c r="L635" i="1"/>
  <c r="A635" i="1"/>
  <c r="L634" i="1"/>
  <c r="A634" i="1"/>
  <c r="L633" i="1"/>
  <c r="A633" i="1"/>
  <c r="L632" i="1"/>
  <c r="A632" i="1"/>
  <c r="L631" i="1"/>
  <c r="A631" i="1"/>
  <c r="A630" i="1"/>
  <c r="A629" i="1"/>
  <c r="A628" i="1"/>
  <c r="A627" i="1"/>
  <c r="L626" i="1"/>
  <c r="A626" i="1"/>
  <c r="L625" i="1"/>
  <c r="A625" i="1"/>
  <c r="L624" i="1"/>
  <c r="A624" i="1"/>
  <c r="L623" i="1"/>
  <c r="A623" i="1"/>
  <c r="L622" i="1"/>
  <c r="A622" i="1"/>
  <c r="L621" i="1"/>
  <c r="A621" i="1"/>
  <c r="L620" i="1"/>
  <c r="A620" i="1"/>
  <c r="A619" i="1"/>
  <c r="A618" i="1"/>
  <c r="A617" i="1"/>
  <c r="A616" i="1"/>
  <c r="A615" i="1"/>
  <c r="L614" i="1"/>
  <c r="A614" i="1"/>
  <c r="L613" i="1"/>
  <c r="A613" i="1"/>
  <c r="L612" i="1"/>
  <c r="A612" i="1"/>
  <c r="L611" i="1"/>
  <c r="A611" i="1"/>
  <c r="L610" i="1"/>
  <c r="A610" i="1"/>
  <c r="L609" i="1"/>
  <c r="A609" i="1"/>
  <c r="L608" i="1"/>
  <c r="A608" i="1"/>
  <c r="A607" i="1"/>
  <c r="A606" i="1"/>
  <c r="A605" i="1"/>
  <c r="A604" i="1"/>
  <c r="A603" i="1"/>
  <c r="A602" i="1"/>
  <c r="A601" i="1"/>
  <c r="A600" i="1"/>
  <c r="A599" i="1"/>
  <c r="A598" i="1"/>
  <c r="A597" i="1"/>
  <c r="A596" i="1"/>
  <c r="A595" i="1"/>
  <c r="A594" i="1"/>
  <c r="A593" i="1"/>
  <c r="L592" i="1"/>
  <c r="A592" i="1"/>
  <c r="L591" i="1"/>
  <c r="A591" i="1"/>
  <c r="L590" i="1"/>
  <c r="A590" i="1"/>
  <c r="L589" i="1"/>
  <c r="A589" i="1"/>
  <c r="L588" i="1"/>
  <c r="A588" i="1"/>
  <c r="L587" i="1"/>
  <c r="A587" i="1"/>
  <c r="L586" i="1"/>
  <c r="A586" i="1"/>
  <c r="L585" i="1"/>
  <c r="A585" i="1"/>
  <c r="L584" i="1"/>
  <c r="A584" i="1"/>
  <c r="L583" i="1"/>
  <c r="A583" i="1"/>
  <c r="L582" i="1"/>
  <c r="A582" i="1"/>
  <c r="L581" i="1"/>
  <c r="A581" i="1"/>
  <c r="L580" i="1"/>
  <c r="A580" i="1"/>
  <c r="L579"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L554" i="1"/>
  <c r="A554" i="1"/>
  <c r="L553" i="1"/>
  <c r="A553" i="1"/>
  <c r="L552" i="1"/>
  <c r="A552" i="1"/>
  <c r="L551" i="1"/>
  <c r="A551" i="1"/>
  <c r="L550" i="1"/>
  <c r="A550" i="1"/>
  <c r="L549" i="1"/>
  <c r="A549" i="1"/>
  <c r="L548" i="1"/>
  <c r="A548" i="1"/>
  <c r="L547" i="1"/>
  <c r="A547" i="1"/>
  <c r="L546" i="1"/>
  <c r="A546" i="1"/>
  <c r="A545" i="1"/>
  <c r="A544" i="1"/>
  <c r="L543" i="1"/>
  <c r="A543" i="1"/>
  <c r="L542" i="1"/>
  <c r="A542" i="1"/>
  <c r="L541" i="1"/>
  <c r="A541" i="1"/>
  <c r="L540" i="1"/>
  <c r="A540" i="1"/>
  <c r="L539" i="1"/>
  <c r="A539" i="1"/>
  <c r="L538" i="1"/>
  <c r="A538" i="1"/>
  <c r="L537" i="1"/>
  <c r="A537" i="1"/>
  <c r="A536" i="1"/>
  <c r="L535" i="1"/>
  <c r="A535" i="1"/>
  <c r="L534" i="1"/>
  <c r="A534" i="1"/>
  <c r="L533" i="1"/>
  <c r="A533" i="1"/>
  <c r="L532" i="1"/>
  <c r="A532" i="1"/>
  <c r="L531" i="1"/>
  <c r="A531" i="1"/>
  <c r="L530" i="1"/>
  <c r="A530" i="1"/>
  <c r="L529" i="1"/>
  <c r="A529" i="1"/>
  <c r="L528" i="1"/>
  <c r="A528" i="1"/>
  <c r="L527"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3" i="1"/>
  <c r="A422" i="1"/>
  <c r="A421" i="1"/>
  <c r="A420" i="1"/>
  <c r="A419"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L78"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<sst xmlns="http://schemas.openxmlformats.org/spreadsheetml/2006/main" count="25653" uniqueCount="7070">
  <si>
    <t>Sent Date Family</t>
  </si>
  <si>
    <t>Document Description</t>
  </si>
  <si>
    <t>FOIA-FWS-2020-00724-0000001</t>
  </si>
  <si>
    <t>P</t>
  </si>
  <si>
    <t>References</t>
  </si>
  <si>
    <t>Grinnell etal 1937 Furbearing mammals_fisher ch 1.pdf</t>
  </si>
  <si>
    <t>FOIA-FWS-2020-00724-0000002</t>
  </si>
  <si>
    <t>Robart 1982 Wolverine fisher marten OR 1973 to 1982.pdf</t>
  </si>
  <si>
    <t>FOIA-FWS-2020-00724-0000003</t>
  </si>
  <si>
    <t>48 FR 49244 Prep of environmental assessement Oct 25 1983.pdf</t>
  </si>
  <si>
    <t>FOIA-FWS-2020-00724-0000004</t>
  </si>
  <si>
    <t>Arthur etal 1993 Dispersal of juvenile fisher in Maine.pdf</t>
  </si>
  <si>
    <t>FOIA-FWS-2020-00724-0000005</t>
  </si>
  <si>
    <t>Powell and Zielinski 1994 scientific basis for conserving forest carnivores American marten fisher lynx and wolverin.pdf</t>
  </si>
  <si>
    <t>FOIA-FWS-2020-00724-0000006</t>
  </si>
  <si>
    <t>USDA and USDI 1994 ROD FS and BLM planning docs NSO.pdf</t>
  </si>
  <si>
    <t>FOIA-FWS-2020-00724-0000007</t>
  </si>
  <si>
    <t>59 FR 22951 Pres Memo on Gov to Gov April 29, 1994.pdf</t>
  </si>
  <si>
    <t>FOIA-FWS-2020-00724-0000008</t>
  </si>
  <si>
    <t>59 FR 34270 peer review policy.pdf</t>
  </si>
  <si>
    <t>FOIA-FWS-2020-00724-0000009</t>
  </si>
  <si>
    <t>59 FR 34271 info standards.pdf</t>
  </si>
  <si>
    <t>FOIA-FWS-2020-00724-0000010</t>
  </si>
  <si>
    <t>59 FR 34272 section 9 prohibitions.pdf</t>
  </si>
  <si>
    <t>FOIA-FWS-2020-00724-0000011</t>
  </si>
  <si>
    <t>Ruggerio etal 1994 The Scientific Basis for Conserving Forest Carnivores.pdf</t>
  </si>
  <si>
    <t>FOIA-FWS-2020-00724-0000012</t>
  </si>
  <si>
    <t>Frankham 1995.pdf</t>
  </si>
  <si>
    <t>FOIA-FWS-2020-00724-0000013</t>
  </si>
  <si>
    <t>61 FR 4722 Interagency Policy Regarding Recognition of Distinct Vertebrate February 7, 1996.pdf</t>
  </si>
  <si>
    <t>FOIA-FWS-2020-00724-0000014</t>
  </si>
  <si>
    <t>Zielinski and Stauffer 1996 Monitoring Martes Populations in CA.pdf</t>
  </si>
  <si>
    <t>FOIA-FWS-2020-00724-0000015</t>
  </si>
  <si>
    <t>General Communications</t>
  </si>
  <si>
    <t>ODFW 1998 Josephine_County_fisher_capture.pdf</t>
  </si>
  <si>
    <t>FOIA-FWS-2020-00724-0000016</t>
  </si>
  <si>
    <t>Taylor and Skinner 1998 Fire History Klamath Mountains.pdf</t>
  </si>
  <si>
    <t>FOIA-FWS-2020-00724-0000017</t>
  </si>
  <si>
    <t>Public Comments</t>
  </si>
  <si>
    <t>FWS-R8-ES-2018-0105-0064_Att11.pdf</t>
  </si>
  <si>
    <t>FOIA-FWS-2020-00724-0000018</t>
  </si>
  <si>
    <t>HRC HCP Fisher Conservation Plan.pdf</t>
  </si>
  <si>
    <t>FOIA-FWS-2020-00724-0000019</t>
  </si>
  <si>
    <t>Pacific Lumber Co etal 1999 Final HCP Humbolt Redwood Co.pdf</t>
  </si>
  <si>
    <t>FOIA-FWS-2020-00724-0000020</t>
  </si>
  <si>
    <t>Strittholt et al 1999 A Science-Based Conservation Assessment for the Klamath-Siskiyou Ecoregion.pdf</t>
  </si>
  <si>
    <t>FOIA-FWS-2020-00724-0000021</t>
  </si>
  <si>
    <t>Hosea 2000.pdf</t>
  </si>
  <si>
    <t>FOIA-FWS-2020-00724-0000022</t>
  </si>
  <si>
    <t>Lamberson etal 2000 Fisher populaiton viability in the S Sierra NV.pdf</t>
  </si>
  <si>
    <t>FOIA-FWS-2020-00724-0000023</t>
  </si>
  <si>
    <t>Federal Register</t>
  </si>
  <si>
    <t>66FedReg751 WUI.pdf</t>
  </si>
  <si>
    <t>FOIA-FWS-2020-00724-0000024</t>
  </si>
  <si>
    <t>Ohmann and Gregory 2002 predictive mapping of forest composition.pdf</t>
  </si>
  <si>
    <t>FOIA-FWS-2020-00724-0000025</t>
  </si>
  <si>
    <t>Aubry and Raley 2002 Fishers in the Southern Oregon Cascade Range.pdf</t>
  </si>
  <si>
    <t>FOIA-FWS-2020-00724-0000026</t>
  </si>
  <si>
    <t>Aubry and Lewis 2003 Extirpation_reintro_fishers in OR.PDF</t>
  </si>
  <si>
    <t>FOIA-FWS-2020-00724-0000027</t>
  </si>
  <si>
    <t>Taylor and Skinner 2003 Historical Fire Regimes Forest Structure Klamath.pdf</t>
  </si>
  <si>
    <t>FOIA-FWS-2020-00724-0000028</t>
  </si>
  <si>
    <t>Slauson etal 2003 Dist and habitat marten fisher Redwd.pdf</t>
  </si>
  <si>
    <t>FOIA-FWS-2020-00724-0000029</t>
  </si>
  <si>
    <t>Burns etal 2003 global climate_change_mammals_in_natl_parks.pdf</t>
  </si>
  <si>
    <t>FOIA-FWS-2020-00724-0000030</t>
  </si>
  <si>
    <t>Zielinski etal 2004 Resting habitat selection by fishers in California.pdf</t>
  </si>
  <si>
    <t>FOIA-FWS-2020-00724-0000031</t>
  </si>
  <si>
    <t>Erickson and Urban 2004 Potential Risks of Nine Rodenticides to Birds and (EPA).pdf</t>
  </si>
  <si>
    <t>FOIA-FWS-2020-00724-0000032</t>
  </si>
  <si>
    <t>Lewis and Hayes 2004 Feasibility assessment for reintroducing fishers to WA.pdf</t>
  </si>
  <si>
    <t>FOIA-FWS-2020-00724-0000033</t>
  </si>
  <si>
    <t>Zielinski etal 2005 Historical Distributions Carnivores Sierra Nevada.pdf</t>
  </si>
  <si>
    <t>FOIA-FWS-2020-00724-0000034</t>
  </si>
  <si>
    <t>Interagency fisher steeering committee charter_01_06_final.pdf</t>
  </si>
  <si>
    <t>FOIA-FWS-2020-00724-0000035</t>
  </si>
  <si>
    <t>Self and Callas 2006 Pacific Fisher Natal and Maternal Den Study Progress report.pdf</t>
  </si>
  <si>
    <t>FOIA-FWS-2020-00724-0000036</t>
  </si>
  <si>
    <t>Tebaldi etal 2006 Going to the Extremes.pdf</t>
  </si>
  <si>
    <t>FOIA-FWS-2020-00724-0000037</t>
  </si>
  <si>
    <t>Aubry and Raley 2006 Fishers in the Southern Oregon Cascade Range.pdf</t>
  </si>
  <si>
    <t>FOIA-FWS-2020-00724-0000038</t>
  </si>
  <si>
    <t>Golightly etal 2006 Fisher Diet in the Klamath North Coast Bioregion.pdf</t>
  </si>
  <si>
    <t>FOIA-FWS-2020-00724-0000039</t>
  </si>
  <si>
    <t>Zielinski etal 2006 Using landscape suitabitlity models to reconcile conservation planning for two key forest predators-!-.pdf</t>
  </si>
  <si>
    <t>FOIA-FWS-2020-00724-0000040</t>
  </si>
  <si>
    <t>Hayes and Lewis 2006 Washington State Recovery Plan for the Fisher.pdf</t>
  </si>
  <si>
    <t>FOIA-FWS-2020-00724-0000041</t>
  </si>
  <si>
    <t>ODFW 2007 Incidental fisher capture memo.pdf</t>
  </si>
  <si>
    <t>FOIA-FWS-2020-00724-0000042</t>
  </si>
  <si>
    <t>FWS-R8-ES-2018-0105-0059_Att16.pdf</t>
  </si>
  <si>
    <t>FOIA-FWS-2020-00724-0000043</t>
  </si>
  <si>
    <t>SPI 2008 fisher CCAA sterling.pdf</t>
  </si>
  <si>
    <t>FOIA-FWS-2020-00724-0000044</t>
  </si>
  <si>
    <t>Westerling and Bryant 2008 Climate change and wildfire in California.pdf</t>
  </si>
  <si>
    <t>FOIA-FWS-2020-00724-0000045</t>
  </si>
  <si>
    <t>0033_Attachment11.pdf</t>
  </si>
  <si>
    <t>FOIA-FWS-2020-00724-0000046</t>
  </si>
  <si>
    <t>Vandenbrouke 2008 Pharmacokinetics of eight anticoagulant rodenticides in mice.pdf</t>
  </si>
  <si>
    <t>FOIA-FWS-2020-00724-0000047</t>
  </si>
  <si>
    <t>Vandenbroucke etal 2008 anticoagulant single oral administration.pdf</t>
  </si>
  <si>
    <t>FOIA-FWS-2020-00724-0000048</t>
  </si>
  <si>
    <t>2008_0514 Final Stirling Mgmt Area CCAA_signed.pdf</t>
  </si>
  <si>
    <t>FOIA-FWS-2020-00724-0000049</t>
  </si>
  <si>
    <t>EPA 2008 Risk Mitigation Decision for Ten Rodenticides.pdf</t>
  </si>
  <si>
    <t>FOIA-FWS-2020-00724-0000050</t>
  </si>
  <si>
    <t>Sage etal 2008 Kinetics of bromadiolone in rodent populations.pdf</t>
  </si>
  <si>
    <t>FOIA-FWS-2020-00724-0000051</t>
  </si>
  <si>
    <t>Slauson etal 2009 Estimating Detection Probabilities for Fishers.pdf</t>
  </si>
  <si>
    <t>FOIA-FWS-2020-00724-0000052</t>
  </si>
  <si>
    <t>Thompson and Spies 2009 vegetation weather wildfire.pdf</t>
  </si>
  <si>
    <t>FOIA-FWS-2020-00724-0000053</t>
  </si>
  <si>
    <t>Gonzalez etal 2010 Global Patterns in the Vulnerability of Ecosystems.pdf</t>
  </si>
  <si>
    <t>FOIA-FWS-2020-00724-0000054</t>
  </si>
  <si>
    <t>Lofroth et al 2010 Conservation of Fishers Vol I.pdf</t>
  </si>
  <si>
    <t>FOIA-FWS-2020-00724-0000055</t>
  </si>
  <si>
    <t>Salathe etal 2010 Regional climate model projections for the state of Washington.pdf</t>
  </si>
  <si>
    <t>FOIA-FWS-2020-00724-0000056</t>
  </si>
  <si>
    <t>Mote and Salathe 2010 Future Climate in the Pacific Northwest.pdf</t>
  </si>
  <si>
    <t>FOIA-FWS-2020-00724-0000057</t>
  </si>
  <si>
    <t>Knaus etal 2011 Mitochondrial Genome Sequences Illuminate Maternal Lineages of Conservation.pdf</t>
  </si>
  <si>
    <t>FOIA-FWS-2020-00724-0000058</t>
  </si>
  <si>
    <t>Lofroth et al 2011.pdf</t>
  </si>
  <si>
    <t>FOIA-FWS-2020-00724-0000059</t>
  </si>
  <si>
    <t>Spencer etal 2011 Using occupancy and population models to assess habitat.pdf</t>
  </si>
  <si>
    <t>FOIA-FWS-2020-00724-0000060</t>
  </si>
  <si>
    <t>Butz and Safford 2011 KlamathNF_CC.pdf</t>
  </si>
  <si>
    <t>FOIA-FWS-2020-00724-0000061</t>
  </si>
  <si>
    <t>Matthews etal 2011 Hoopa fisher densities.pdf</t>
  </si>
  <si>
    <t>FOIA-FWS-2020-00724-0000062</t>
  </si>
  <si>
    <t>Drft_Strategy19_august_2011_Fisher steering committee version.pdf</t>
  </si>
  <si>
    <t>FOIA-FWS-2020-00724-0000063</t>
  </si>
  <si>
    <t>Cocking etal 2012 Response to fire severity in the Klamath Mountains.pdf</t>
  </si>
  <si>
    <t>FOIA-FWS-2020-00724-0000064</t>
  </si>
  <si>
    <t>Raley et al 2012 Habitat ecology of fishers No Am_full book chapter.pdf</t>
  </si>
  <si>
    <t>FOIA-FWS-2020-00724-0000065</t>
  </si>
  <si>
    <t>Hamm etal 2012 Ecology and management of Martes CA.pdf</t>
  </si>
  <si>
    <t>FOIA-FWS-2020-00724-0000066</t>
  </si>
  <si>
    <t>Jamieson and Allendorf 2012 how does the 50 500 rule apply to MVPs.pdf</t>
  </si>
  <si>
    <t>FOIA-FWS-2020-00724-0000067</t>
  </si>
  <si>
    <t>Lawler etal 2012 Martens and fishers in a changing climate.pdf</t>
  </si>
  <si>
    <t>FOIA-FWS-2020-00724-0000068</t>
  </si>
  <si>
    <t>Naney etal 2012 Conservation of Fishers in South-Central British Columbia, Western Washington.pdf</t>
  </si>
  <si>
    <t>FOIA-FWS-2020-00724-0000069</t>
  </si>
  <si>
    <t>Raley etal 2012 Habitat Ecology of Fishers in Western North America.pdf</t>
  </si>
  <si>
    <t>FOIA-FWS-2020-00724-0000070</t>
  </si>
  <si>
    <t>Safford etal 2012 Climate Change Historical Forest Conditions.pdf</t>
  </si>
  <si>
    <t>FOIA-FWS-2020-00724-0000071</t>
  </si>
  <si>
    <t>Weir etal 2012 Big sick and rotting Why tree size damage and decay are important to fisher habitat.pdf</t>
  </si>
  <si>
    <t>FOIA-FWS-2020-00724-0000072</t>
  </si>
  <si>
    <t>Cayan etal 2012 Climate change and Sea Level Rise Scenarios for California.pdf</t>
  </si>
  <si>
    <t>FOIA-FWS-2020-00724-0000073</t>
  </si>
  <si>
    <t>Tosh etal 2012 Rodenticide exposure in wood mouse and house mouse populations on farms.pdf</t>
  </si>
  <si>
    <t>FOIA-FWS-2020-00724-0000074</t>
  </si>
  <si>
    <t>Pierce etal 2013 Probabilistic Estimates of Future Changes in California Temperature and Precipitation.pdf</t>
  </si>
  <si>
    <t>FOIA-FWS-2020-00724-0000075</t>
  </si>
  <si>
    <t>Zielinski etal 2012 NW CA fisher habitat.pdf</t>
  </si>
  <si>
    <t>FOIA-FWS-2020-00724-0000076</t>
  </si>
  <si>
    <t>Gabriel et al 2012_.pdf</t>
  </si>
  <si>
    <t>FOIA-FWS-2020-00724-0000077</t>
  </si>
  <si>
    <t>GIS (other data types)</t>
  </si>
  <si>
    <t>Location Databases.zip</t>
  </si>
  <si>
    <t>FOIA-FWS-2020-00724-0000078</t>
  </si>
  <si>
    <t>Jain etal 2012 Comprehensive guide to fuel management practices.pdf</t>
  </si>
  <si>
    <t>FOIA-FWS-2020-00724-0000079</t>
  </si>
  <si>
    <t>FWS-R8-ES-2018-0105-0059_Att1.pdf</t>
  </si>
  <si>
    <t>FOIA-FWS-2020-00724-0000080</t>
  </si>
  <si>
    <t>0033_Attachment3.pdf</t>
  </si>
  <si>
    <t>FOIA-FWS-2020-00724-0000081</t>
  </si>
  <si>
    <t>Dorman 2013_Small Animal Toxicology 2013 pp 471_478_Bromethilin.pdf</t>
  </si>
  <si>
    <t>FOIA-FWS-2020-00724-0000082</t>
  </si>
  <si>
    <t>Brady 2013.pdf</t>
  </si>
  <si>
    <t>FOIA-FWS-2020-00724-0000083</t>
  </si>
  <si>
    <t>Mote etal 2013 Climate Variability and Change in the Past and Future.pdf</t>
  </si>
  <si>
    <t>FOIA-FWS-2020-00724-0000084</t>
  </si>
  <si>
    <t>Truex and Zielinski 2013 Short-term effects of fuel treatments on fisher habitat.pdf</t>
  </si>
  <si>
    <t>FOIA-FWS-2020-00724-0000085</t>
  </si>
  <si>
    <t>Wengert 2013 Ecology of Intraguild Predation on Fishers in California.pdf</t>
  </si>
  <si>
    <t>FOIA-FWS-2020-00724-0000086</t>
  </si>
  <si>
    <t>Hansen etal 2013 Climate Forcing Growth Rates.pdf</t>
  </si>
  <si>
    <t>FOIA-FWS-2020-00724-0000087</t>
  </si>
  <si>
    <t>Wild, Jesse</t>
  </si>
  <si>
    <t>Bosch, Ray</t>
  </si>
  <si>
    <t xml:space="preserve">Re: Fisher call: Various documents that may help with verified occurrence questions </t>
  </si>
  <si>
    <t>FOIA-FWS-2020-00724-0000088</t>
  </si>
  <si>
    <t>FWS-R8-ES-2018-0105-0059_Att3.pdf</t>
  </si>
  <si>
    <t>FOIA-FWS-2020-00724-0000089</t>
  </si>
  <si>
    <t>Tucker 2013 Assessing Change in Connectivity and Abundance through time for fisher.pdf</t>
  </si>
  <si>
    <t>FOIA-FWS-2020-00724-0000090</t>
  </si>
  <si>
    <t>Facka 2013 Email between Facka and Fitzgerald 20130517.pdf</t>
  </si>
  <si>
    <t>FOIA-FWS-2020-00724-0000091</t>
  </si>
  <si>
    <t xml:space="preserve">Roger A Powell </t>
  </si>
  <si>
    <t xml:space="preserve"> Fitzgerald, Katherine</t>
  </si>
  <si>
    <t>Powell 2013 Email from Powell to Fitzgerald 20130517.pdf</t>
  </si>
  <si>
    <t>FOIA-FWS-2020-00724-0000092</t>
  </si>
  <si>
    <t>Zielinski etal 2013 Estimating Trend in Occupancy for the Southern Sierra Fisher Population.pdf</t>
  </si>
  <si>
    <t>FOIA-FWS-2020-00724-0000093</t>
  </si>
  <si>
    <t>Kadier etal 2013 Indicators of climate change in California.pdf</t>
  </si>
  <si>
    <t>FOIA-FWS-2020-00724-0000094</t>
  </si>
  <si>
    <t>Heather Rustigian-Romsos &lt;heather@consbio.org&gt;</t>
  </si>
  <si>
    <t xml:space="preserve">"Fitzgerald, Katherine" &lt;katherine_fitzgerald@fws.gov&gt;, Wayne Spencer &lt;wdspencer@consbio.org&gt;, Scott
Yaeger &lt;scott_yaeger@fws.gov&gt;
</t>
  </si>
  <si>
    <t>Rustigian Romsos 2013 Email from Rustigian-Romsos to Fitzgerald 20131113.pdf</t>
  </si>
  <si>
    <t>FOIA-FWS-2020-00724-0000095</t>
  </si>
  <si>
    <t>Clayton 2013 Ashland fisher interim report.pdf</t>
  </si>
  <si>
    <t>FOIA-FWS-2020-00724-0000096</t>
  </si>
  <si>
    <t>Mallek etal 2013 Modern Departures in Fire Severity.pdf</t>
  </si>
  <si>
    <t>FOIA-FWS-2020-00724-0000097</t>
  </si>
  <si>
    <t>FWS-R8-ES-2018-0105-0059_Att13.pdf</t>
  </si>
  <si>
    <t>FOIA-FWS-2020-00724-0000098</t>
  </si>
  <si>
    <t>Primack 2014.pdf</t>
  </si>
  <si>
    <t>FOIA-FWS-2020-00724-0000099</t>
  </si>
  <si>
    <t>2014pL FR Text.pdf</t>
  </si>
  <si>
    <t>FOIA-FWS-2020-00724-0000100</t>
  </si>
  <si>
    <t>00188_Fitzgerald etal 2014 Habitat Modeling Methods.pdf</t>
  </si>
  <si>
    <t>FOIA-FWS-2020-00724-0000101</t>
  </si>
  <si>
    <t>Cocking etal 2014 Long-term effects of fire severity on oak-conifer dynamics.pdf</t>
  </si>
  <si>
    <t>FOIA-FWS-2020-00724-0000102</t>
  </si>
  <si>
    <t>Frankham etal 2014 genetics in conservation management.pdf</t>
  </si>
  <si>
    <t>FOIA-FWS-2020-00724-0000103</t>
  </si>
  <si>
    <t>Olson etal 2014 Modeling the effects of dispersal and patch size.pdf</t>
  </si>
  <si>
    <t>FOIA-FWS-2020-00724-0000104</t>
  </si>
  <si>
    <t>Safford and Van de Water 2014 Fire Frequency CA.pdf</t>
  </si>
  <si>
    <t>FOIA-FWS-2020-00724-0000105</t>
  </si>
  <si>
    <t>Tucker etal 2014 Genetic Subdivision SSN fisher.pdf</t>
  </si>
  <si>
    <t>FOIA-FWS-2020-00724-0000106</t>
  </si>
  <si>
    <t>Farber and Nicolls 2014_0033_Attachment5.pdf</t>
  </si>
  <si>
    <t>FOIA-FWS-2020-00724-0000107</t>
  </si>
  <si>
    <t>USFWS 2014_Fisher Draft SpeciesReport_20140911.pdf</t>
  </si>
  <si>
    <t>FOIA-FWS-2020-00724-0000108</t>
  </si>
  <si>
    <t>Higley etal 2014 Bobcat ecology relationship to fisher survival.pdf</t>
  </si>
  <si>
    <t>FOIA-FWS-2020-00724-0000109</t>
  </si>
  <si>
    <t>Brian Wolfer</t>
  </si>
  <si>
    <t>sue_livingston@fws.gov, jdoerr@fs.fed.us</t>
  </si>
  <si>
    <t>Wolfer 2014 Email from Wolfer to Livingston 20140131.pdf</t>
  </si>
  <si>
    <t>A</t>
  </si>
  <si>
    <t>EK000526.JPG</t>
  </si>
  <si>
    <t>EK003021.JPG</t>
  </si>
  <si>
    <t>EK003023.JPG</t>
  </si>
  <si>
    <t>EK003029.jpg</t>
  </si>
  <si>
    <t>EK003037.JPG</t>
  </si>
  <si>
    <t>EK003046.JPG</t>
  </si>
  <si>
    <t>EK003047.JPG</t>
  </si>
  <si>
    <t>FOIA-FWS-2020-00724-0000117</t>
  </si>
  <si>
    <t>Wengert etal 2014 Using DNA to Describe and Quantify Interspecific Killing of Fishers.pdf</t>
  </si>
  <si>
    <t>FOIA-FWS-2020-00724-0000118</t>
  </si>
  <si>
    <t>Mend Redwood Company 2014_Northern-Spotted-Owl-Conservation-and-Management-on-Mendocino-Redwood-Company-Forestlands_02142014.pdf</t>
  </si>
  <si>
    <t>FOIA-FWS-2020-00724-0000119</t>
  </si>
  <si>
    <t>Thompson etal 2014 Impacts of Rodenticide and insecticide toxicants.pdf</t>
  </si>
  <si>
    <t>FOIA-FWS-2020-00724-0000120</t>
  </si>
  <si>
    <t>FWS-R8-ES-2018-0105-0050_Att2.pdf</t>
  </si>
  <si>
    <t>FOIA-FWS-2020-00724-0000121</t>
  </si>
  <si>
    <t>03220_20140519_1036_2_Att1.pdf</t>
  </si>
  <si>
    <t>FOIA-FWS-2020-00724-0000122</t>
  </si>
  <si>
    <t>Rattner etal 2014a Adverse outcome pathway and risks of anticoagulant rodenticide.pdf</t>
  </si>
  <si>
    <t>FOIA-FWS-2020-00724-0000123</t>
  </si>
  <si>
    <t>Powell etal 2014 Understanding a Fisher Reintroduction in Northern California.pdf</t>
  </si>
  <si>
    <t>FOIA-FWS-2020-00724-0000124</t>
  </si>
  <si>
    <t>Geduhn etal 2014 Spatial and temporal exposure patterns in non-target.pdf</t>
  </si>
  <si>
    <t>FOIA-FWS-2020-00724-0000125</t>
  </si>
  <si>
    <t>California Dept Pesticide Regulation 2014.pdf</t>
  </si>
  <si>
    <t>ca2014-09.pdf.accreport.html</t>
  </si>
  <si>
    <t>FOIA-FWS-2020-00724-0000127</t>
  </si>
  <si>
    <t>79 FR 60419 Proposed Rule Threatened Species Status for WCDPS of Fisher October 7, 2014.pdf</t>
  </si>
  <si>
    <t>FOIA-FWS-2020-00724-0000128</t>
  </si>
  <si>
    <t>FWS-R8-ES-2014-0041-0001_content.pdf</t>
  </si>
  <si>
    <t>FOIA-FWS-2020-00724-0000129</t>
  </si>
  <si>
    <t>04770_20141106_0922_2_Att1_Redacted.pdf</t>
  </si>
  <si>
    <t>FOIA-FWS-2020-00724-0000130</t>
  </si>
  <si>
    <t>04849_20141118_1523_2_Att1.pdf</t>
  </si>
  <si>
    <t>FOIA-FWS-2020-00724-0000131</t>
  </si>
  <si>
    <t>Farber and Nicolls 2014_0033_Attachment6.pdf</t>
  </si>
  <si>
    <t>FOIA-FWS-2020-00724-0000132</t>
  </si>
  <si>
    <t>79 FR 76950 extension comment period fisher.pdf</t>
  </si>
  <si>
    <t>FOIA-FWS-2020-00724-0000133</t>
  </si>
  <si>
    <t>Peer-Review</t>
  </si>
  <si>
    <t>Barrett, Reginald</t>
  </si>
  <si>
    <t>peer review_Reginal Barrett.pdf</t>
  </si>
  <si>
    <t>FOIA-FWS-2020-00724-0000134</t>
  </si>
  <si>
    <t>Zielinski and Schlexer 2015 changes in the structural and functional char of fisher rest struct over time.pdf</t>
  </si>
  <si>
    <t>FOIA-FWS-2020-00724-0000135</t>
  </si>
  <si>
    <t>Spencer et al 2015_Simulating effects of climate and veg change on martens and fishers in Sierra Nevada.pdf</t>
  </si>
  <si>
    <t>FOIA-FWS-2020-00724-0000136</t>
  </si>
  <si>
    <t>FWS-R8-ES-2018-0105-0059_Att15.pdf</t>
  </si>
  <si>
    <t>FOIA-FWS-2020-00724-0000137</t>
  </si>
  <si>
    <t>USFWS 2015 Fisher public comment slides.pdf</t>
  </si>
  <si>
    <t>FOIA-FWS-2020-00724-0000138</t>
  </si>
  <si>
    <t>SFI 2015-2019_Fiber Sourcing Standard.pdf</t>
  </si>
  <si>
    <t>FOIA-FWS-2020-00724-0000139</t>
  </si>
  <si>
    <t>BLM 2015 Draft Resource Managment Plan.pdf</t>
  </si>
  <si>
    <t>FOIA-FWS-2020-00724-0000140</t>
  </si>
  <si>
    <t>Niblett etal 2015 Structure of the fisher habitat in a managed forest.pdf</t>
  </si>
  <si>
    <t>FOIA-FWS-2020-00724-0000141</t>
  </si>
  <si>
    <t>Sweitzer etal 2015a Fisher reproduction, abundance and population growth.pdf</t>
  </si>
  <si>
    <t>FOIA-FWS-2020-00724-0000142</t>
  </si>
  <si>
    <t>Zielinski, W.</t>
  </si>
  <si>
    <t>peer review_Bill Zielinski.pdf</t>
  </si>
  <si>
    <t>FOIA-FWS-2020-00724-0000143</t>
  </si>
  <si>
    <t>Graber, David</t>
  </si>
  <si>
    <t>peer review_Dave Graber.pdf</t>
  </si>
  <si>
    <t>FOIA-FWS-2020-00724-0000144</t>
  </si>
  <si>
    <t>Eggert, Lori</t>
  </si>
  <si>
    <t>peer review_Lori Eggert Peer.pdf</t>
  </si>
  <si>
    <t>FOIA-FWS-2020-00724-0000145</t>
  </si>
  <si>
    <t>Schwartz, Mike</t>
  </si>
  <si>
    <t>peer review_Mike Schwartz.pdf</t>
  </si>
  <si>
    <t>FOIA-FWS-2020-00724-0000146</t>
  </si>
  <si>
    <t>Sauder, Joel</t>
  </si>
  <si>
    <t>peer review_Joel Sauder.pdf</t>
  </si>
  <si>
    <t>FOIA-FWS-2020-00724-0000147</t>
  </si>
  <si>
    <t>Proulx, Gilbert</t>
  </si>
  <si>
    <t>peer review_Gilbert Proulx.pdf</t>
  </si>
  <si>
    <t>FOIA-FWS-2020-00724-0000148</t>
  </si>
  <si>
    <t>Tucker, Jody</t>
  </si>
  <si>
    <t>peer review_Jody Tucker.pdf</t>
  </si>
  <si>
    <t>FOIA-FWS-2020-00724-0000149</t>
  </si>
  <si>
    <t>Aubry, Keith</t>
  </si>
  <si>
    <t>peer review_Keith Aubry.pdf</t>
  </si>
  <si>
    <t>FOIA-FWS-2020-00724-0000150</t>
  </si>
  <si>
    <t>Tables6-7_Davis_etal_2015_for2019fisher.pdf</t>
  </si>
  <si>
    <t>FOIA-FWS-2020-00724-0000151</t>
  </si>
  <si>
    <t>FWS-R8-ES-2018-0105-0050_Att7.pdf</t>
  </si>
  <si>
    <t>FOIA-FWS-2020-00724-0000152</t>
  </si>
  <si>
    <t>FWS-R8-ES-2018-0105-0059_Att11.pdf</t>
  </si>
  <si>
    <t>FOIA-FWS-2020-00724-0000153</t>
  </si>
  <si>
    <t>80 FR 19953 6mo extension.pdf</t>
  </si>
  <si>
    <t>FOIA-FWS-2020-00724-0000154</t>
  </si>
  <si>
    <t>Stephens etal 2015 Historical and Current Landscape-scale Ponderosa Pine and mixed conifer.pdf</t>
  </si>
  <si>
    <t>FOIA-FWS-2020-00724-0000155</t>
  </si>
  <si>
    <t>DFW_StatusReview_PacificFisher_2015_0610_Final_Reduced.pdf</t>
  </si>
  <si>
    <t>FOIA-FWS-2020-00724-0000156</t>
  </si>
  <si>
    <t>CDFW 2015 Report to the FGC Status Review of The Fisher In California.pdf</t>
  </si>
  <si>
    <t>FOIA-FWS-2020-00724-0000157</t>
  </si>
  <si>
    <t>0028_Attachment2_Final EIS Westside Fire Recovery Project.pdf</t>
  </si>
  <si>
    <t>FOIA-FWS-2020-00724-0000158</t>
  </si>
  <si>
    <t>IERC 2015 Marijuana Risk Modeling Project.pdf</t>
  </si>
  <si>
    <t>FOIA-FWS-2020-00724-0000159</t>
  </si>
  <si>
    <t>Williams etal 2015 CA drought and_anthropo_warming.pdf</t>
  </si>
  <si>
    <t>FOIA-FWS-2020-00724-0000160</t>
  </si>
  <si>
    <t>August update - Marijuana Risk Modeling Project_Final.pdf</t>
  </si>
  <si>
    <t>FOIA-FWS-2020-00724-0000161</t>
  </si>
  <si>
    <t>FWS-R8-ES-2018-0105-0064_Att7.pdf</t>
  </si>
  <si>
    <t>FOIA-FWS-2020-00724-0000162</t>
  </si>
  <si>
    <t>FWS-R8-ES-2018-0105-0059_Att2.pdf</t>
  </si>
  <si>
    <t>FOIA-FWS-2020-00724-0000163</t>
  </si>
  <si>
    <t>Sheehan etal 2015 Projected Major Fire and Vegetation Changes in the PNW.pdf</t>
  </si>
  <si>
    <t>FOIA-FWS-2020-00724-0000164</t>
  </si>
  <si>
    <t>Higley 2015 Email from Higley to Finley and Matthews 20150903.pdf</t>
  </si>
  <si>
    <t>FOIA-FWS-2020-00724-0000165</t>
  </si>
  <si>
    <t>FWS-R8-ES-2018-0105-0053_Att2.pdf</t>
  </si>
  <si>
    <t>FOIA-FWS-2020-00724-0000166</t>
  </si>
  <si>
    <t>0050_Attachment1 ISSSP report R6.pdf</t>
  </si>
  <si>
    <t>FOIA-FWS-2020-00724-0000167</t>
  </si>
  <si>
    <t>Farber and Nicolls 2015_0033_Attachment7.pdf</t>
  </si>
  <si>
    <t>FOIA-FWS-2020-00724-0000168</t>
  </si>
  <si>
    <t>Asner etal 2015_Progressive forest canopy water loss during the 2012-2015 CA drought.pdf</t>
  </si>
  <si>
    <t>FOIA-FWS-2020-00724-0000169</t>
  </si>
  <si>
    <t>LF comments SPI_Fisher_CCAA_1.1.pdf</t>
  </si>
  <si>
    <t>FOIA-FWS-2020-00724-0000170</t>
  </si>
  <si>
    <t>Sweitzer et al 2016 data from camera surveys_fisher_FWS-R8-ES-2018-0105-0049.pdf</t>
  </si>
  <si>
    <t>FOIA-FWS-2020-00724-0000171</t>
  </si>
  <si>
    <t>FWS-R8-ES-2018-0105-0059_Att14.pdf</t>
  </si>
  <si>
    <t>FOIA-FWS-2020-00724-0000172</t>
  </si>
  <si>
    <t>FWS-R8-ES-2018-0105-0064_Att2.pdf</t>
  </si>
  <si>
    <t>FOIA-FWS-2020-00724-0000173</t>
  </si>
  <si>
    <t>Facka et al 2016_Timing of translocation influences birth rate and pop dynamics in fisher.pdf</t>
  </si>
  <si>
    <t>FOIA-FWS-2020-00724-0000174</t>
  </si>
  <si>
    <t>Hanson and Odion 2016 Historical forest conditions_range of Pac fisher in central and so SNev.pdf</t>
  </si>
  <si>
    <t>FOIA-FWS-2020-00724-0000175</t>
  </si>
  <si>
    <t>Thompson and Purcell 2016_Conditions inside fisher dens during prescribed fires.pdf</t>
  </si>
  <si>
    <t>FOIA-FWS-2020-00724-0000176</t>
  </si>
  <si>
    <t>Dettinger etal 2018 Sierra Nevada Summary Report SUM-CCCA4-2018-004.pdf</t>
  </si>
  <si>
    <t>FOIA-FWS-2020-00724-0000177</t>
  </si>
  <si>
    <t>Elliot etal 2016 in Lopez-Perea and Mateo 2018 Secondary Exposure to Anticoagulant.pdf</t>
  </si>
  <si>
    <t>FOIA-FWS-2020-00724-0000178</t>
  </si>
  <si>
    <t>Sweitzer etal 2016a.pdf</t>
  </si>
  <si>
    <t>FOIA-FWS-2020-00724-0000179</t>
  </si>
  <si>
    <t>USFS 2016 Summary of FS R5 Activities over the past 20 years.pdf</t>
  </si>
  <si>
    <t>FOIA-FWS-2020-00724-0000180</t>
  </si>
  <si>
    <t>BLM 2016a Northwestern and Coastal Oregon ROD Resource mgmt plan.pdf</t>
  </si>
  <si>
    <t>FOIA-FWS-2020-00724-0000181</t>
  </si>
  <si>
    <t>BLM 2016b Southwestern Oregon ROD and approved resource mgmt plan.pdf</t>
  </si>
  <si>
    <t>FOIA-FWS-2020-00724-0000182</t>
  </si>
  <si>
    <t>attach to D Clayton pers comm 2016.PDF</t>
  </si>
  <si>
    <t>FOIA-FWS-2020-00724-0000183</t>
  </si>
  <si>
    <t>The_Ashland_Forest_Resiliency_Fisher_Project_2016_Interim_Report_public_release_chapman_comments.pdf</t>
  </si>
  <si>
    <t>FOIA-FWS-2020-00724-0000184</t>
  </si>
  <si>
    <t>00542_Spencer etal 2016 Sotherservation strategy Version 1.0 1.pdf</t>
  </si>
  <si>
    <t>FOIA-FWS-2020-00724-0000185</t>
  </si>
  <si>
    <t>Laura Finley</t>
  </si>
  <si>
    <t>Dave Clayton</t>
  </si>
  <si>
    <t>D Clayton pers comm 2016 FW_ Case Report_ 16V07896_Final.pdf</t>
  </si>
  <si>
    <t>FOIA-FWS-2020-00724-0000186</t>
  </si>
  <si>
    <t>Hayner 2016 Electronic Mail Correspondence on February 18, 2016 from Hayner, BLM to Willy, USFWS.pdf  The attachment is titled "Klamath Falls Fisher Information_160217" which can be found elsewhere in this FOIA response.</t>
  </si>
  <si>
    <t>FOIA-FWS-2020-00724-0000187</t>
  </si>
  <si>
    <t>Klamath Falls Fisher Information_160217.docx</t>
  </si>
  <si>
    <t>FOIA-FWS-2020-00724-0000188</t>
  </si>
  <si>
    <t>Lewis et al 2016 fisher hab selection on OP FEM.pdf</t>
  </si>
  <si>
    <t>FOIA-FWS-2020-00724-0000189</t>
  </si>
  <si>
    <t>FWS-R8-ES-2018-0105-0059_Att12.pdf</t>
  </si>
  <si>
    <t>FOIA-FWS-2020-00724-0000190</t>
  </si>
  <si>
    <t>Species Needs (from 2016 Species Report).pdf</t>
  </si>
  <si>
    <t>FOIA-FWS-2020-00724-0000191</t>
  </si>
  <si>
    <t>Fuller et al 2016_Mgt decision making for fisher populations informed by occupancy modeling.pdf</t>
  </si>
  <si>
    <t>FOIA-FWS-2020-00724-0000192</t>
  </si>
  <si>
    <t>USFWS 2016_SpeciesRpt-FisherFinal-20160331.pdf</t>
  </si>
  <si>
    <t>FOIA-FWS-2020-00724-0000193</t>
  </si>
  <si>
    <t>Scharf etal 2016_Highly Individually Structured Energetic Landscapes in Free-Ranging Fishers (Pekania pennanti).pdf</t>
  </si>
  <si>
    <t>FOIA-FWS-2020-00724-0000194</t>
  </si>
  <si>
    <t>Oregon_interagency_fisher_MOU.pdf</t>
  </si>
  <si>
    <t>FOIA-FWS-2020-00724-0000195</t>
  </si>
  <si>
    <t>Kerns etal 2016_2018-1130_1324_Potential stressor GIS data for OR and WA_02_Att1_Kerns etal 2016_US exposure to multiple lands.pdf</t>
  </si>
  <si>
    <t>FOIA-FWS-2020-00724-0000196</t>
  </si>
  <si>
    <t>Westerling 2016 Increasing western US forest wildfire activity spring.pdf</t>
  </si>
  <si>
    <t>FOIA-FWS-2020-00724-0000197</t>
  </si>
  <si>
    <t>CAL FIRE 2015 Timber Harvesting Plan Status.pdf</t>
  </si>
  <si>
    <t>FOIA-FWS-2020-00724-0000198</t>
  </si>
  <si>
    <t>20160401 Fisher withdrawal e-version to OFR.pdf</t>
  </si>
  <si>
    <t>FOIA-FWS-2020-00724-0000199</t>
  </si>
  <si>
    <t>Coppoletta et al 2016.pdf</t>
  </si>
  <si>
    <t>FOIA-FWS-2020-00724-0000200</t>
  </si>
  <si>
    <t>News Release April 2016 Weyerhaeuser commits 3 million acres in WA and OR.pdf</t>
  </si>
  <si>
    <t>FOIA-FWS-2020-00724-0000201</t>
  </si>
  <si>
    <t>Withdrawal of proposed rule to list West Coast distinct population segment of Fisher</t>
  </si>
  <si>
    <t>FOIA-FWS-2020-00724-0000202</t>
  </si>
  <si>
    <t>FWS-R8-ES-2014-0041-0472_content.pdf</t>
  </si>
  <si>
    <t>FOIA-FWS-2020-00724-0000203</t>
  </si>
  <si>
    <t>Butsic and Brenner 2016.pdf</t>
  </si>
  <si>
    <t>FOIA-FWS-2020-00724-0000204</t>
  </si>
  <si>
    <t>Meigs etal 2018 fire and insects.pdf</t>
  </si>
  <si>
    <t>FOIA-FWS-2020-00724-0000205</t>
  </si>
  <si>
    <t>Elliott et al 2016 Mitigating impact of ARs.pdf</t>
  </si>
  <si>
    <t>FOIA-FWS-2020-00724-0000206</t>
  </si>
  <si>
    <t>FWS-R8-ES-2018-0105-0059_Att18.pdf</t>
  </si>
  <si>
    <t>FOIA-FWS-2020-00724-0000207</t>
  </si>
  <si>
    <t>Laikre et al_2016_MetapopulationEffectiveSizeFennoscandianWolf.pdf</t>
  </si>
  <si>
    <t>FOIA-FWS-2020-00724-0000208</t>
  </si>
  <si>
    <t>Cummins 2016_ Influences on fisher den attendance patterns in CA_thesis.pdf</t>
  </si>
  <si>
    <t>FOIA-FWS-2020-00724-0000209</t>
  </si>
  <si>
    <t>Miller et al 2016_Managing forests for fisher habitat in the Northern Rockies.pdf</t>
  </si>
  <si>
    <t>FOIA-FWS-2020-00724-0000210</t>
  </si>
  <si>
    <t>BLM_W-OR_Proposed_RMP_FEIS_Volume_2.pdf</t>
  </si>
  <si>
    <t>FOIA-FWS-2020-00724-0000211</t>
  </si>
  <si>
    <t>BLM_W-OR_Proposed_RMP_FEIS_Volume_3.pdf</t>
  </si>
  <si>
    <t>FOIA-FWS-2020-00724-0000212</t>
  </si>
  <si>
    <t>BLM_W-OR_Proposed_RMP_FEIS_Volume_4.pdf</t>
  </si>
  <si>
    <t>FOIA-FWS-2020-00724-0000213</t>
  </si>
  <si>
    <t>Keeley and Syphard 2016 Climate Change and Future Fire Regimes_ Examples from California.pdf</t>
  </si>
  <si>
    <t>FOIA-FWS-2020-00724-0000214</t>
  </si>
  <si>
    <t>Moriarty etal 2016 Pacific Fisher Overwintering Distribution.pdf</t>
  </si>
  <si>
    <t>FOIA-FWS-2020-00724-0000215</t>
  </si>
  <si>
    <t>Coppoletta etal 2016_InfluenceOfPostfireVeg_Final.pdf</t>
  </si>
  <si>
    <t>FOIA-FWS-2020-00724-0000216</t>
  </si>
  <si>
    <t>Powell etal Strling Fisher report 2015.pdf</t>
  </si>
  <si>
    <t>FOIA-FWS-2020-00724-0000217</t>
  </si>
  <si>
    <t>Powell etal 2016 Annual Report tables figs.pdf</t>
  </si>
  <si>
    <t>FOIA-FWS-2020-00724-0000218</t>
  </si>
  <si>
    <t>Powell etal 2016 Annual Report.pdf</t>
  </si>
  <si>
    <t>FOIA-FWS-2020-00724-0000219</t>
  </si>
  <si>
    <t>Nicolls and Farber 2016_Applegate_Report.pdf</t>
  </si>
  <si>
    <t>FOIA-FWS-2020-00724-0000220</t>
  </si>
  <si>
    <t>Final_Signed ownership  wide SPI CCAA.pdf</t>
  </si>
  <si>
    <t>FOIA-FWS-2020-00724-0000221</t>
  </si>
  <si>
    <t>ODF 2016.pdf</t>
  </si>
  <si>
    <t>FOIA-FWS-2020-00724-0000222</t>
  </si>
  <si>
    <t>Moriaty 2016 AFWA-FSRD-carnivoresWebinar.pdf</t>
  </si>
  <si>
    <t>FOIA-FWS-2020-00724-0000223</t>
  </si>
  <si>
    <t>Pilgrim and Schwartz 2016 ReportBLM_Klamath_Fisher samples12_12_16.pdf</t>
  </si>
  <si>
    <t>FOIA-FWS-2020-00724-0000224</t>
  </si>
  <si>
    <t>Comprehensive Medical Cannabis Regulation and Safety Act 2016.pdf</t>
  </si>
  <si>
    <t>FOIA-FWS-2020-00724-0000225</t>
  </si>
  <si>
    <t>McNeil et al 2017_Fisher Diet in Pennsylvania.pdf</t>
  </si>
  <si>
    <t>FOIA-FWS-2020-00724-0000226</t>
  </si>
  <si>
    <t>CCLT_Frontiers6.1.2017_final.pdf</t>
  </si>
  <si>
    <t>FOIA-FWS-2020-00724-0000227</t>
  </si>
  <si>
    <t>Furnas 2017.pdf</t>
  </si>
  <si>
    <t>FOIA-FWS-2020-00724-0000228</t>
  </si>
  <si>
    <t>Green 2017 SSN thesis.pdf</t>
  </si>
  <si>
    <t>FOIA-FWS-2020-00724-0000229</t>
  </si>
  <si>
    <t>2017-1130_1508_Klamath fisher research_02_Att1_KlamathFisherResearchMap2017.pdf</t>
  </si>
  <si>
    <t>FOIA-FWS-2020-00724-0000230</t>
  </si>
  <si>
    <t>Gabriel 2017 ppt slide owl.pdf</t>
  </si>
  <si>
    <t>FOIA-FWS-2020-00724-0000231</t>
  </si>
  <si>
    <t>Linden et al 2017_Examining the occupancy-density relationship for low-density carnivore.pdf</t>
  </si>
  <si>
    <t>FOIA-FWS-2020-00724-0000232</t>
  </si>
  <si>
    <t>email attach 1_30_17Rozol Mountain Beaver FAQ 1-30.pdf</t>
  </si>
  <si>
    <t>FOIA-FWS-2020-00724-0000233</t>
  </si>
  <si>
    <t>Dalton etal 2017 The Third Oregon Climate Assessment Report.pdf</t>
  </si>
  <si>
    <t>FOIA-FWS-2020-00724-0000234</t>
  </si>
  <si>
    <t>Davis etal 2017 PNW normal fire environment.pdf</t>
  </si>
  <si>
    <t>FOIA-FWS-2020-00724-0000235</t>
  </si>
  <si>
    <t>USFS 2017 Pacific Southwest Fuels Management NFWF Signed Agreement.pdf</t>
  </si>
  <si>
    <t>FOIA-FWS-2020-00724-0000236</t>
  </si>
  <si>
    <t>Wang etal 2017 Cannabis deforestation fragmentation.pdf</t>
  </si>
  <si>
    <t>FOIA-FWS-2020-00724-0000237</t>
  </si>
  <si>
    <t>Young etal 2017 Longterm Climate and competition explain forest mortality under extreme drought.pdf</t>
  </si>
  <si>
    <t>FOIA-FWS-2020-00724-0000238</t>
  </si>
  <si>
    <t>FOIA-FWS-2020-00724-0000239</t>
  </si>
  <si>
    <t>Rozol Mountain Beaver FAQ 1-30</t>
  </si>
  <si>
    <t>FOIA-FWS-2020-00724-0000240</t>
  </si>
  <si>
    <t>Rozol Mountain Beaver FAQ 2-1</t>
  </si>
  <si>
    <t>FOIA-FWS-2020-00724-0000241</t>
  </si>
  <si>
    <t>2018-0111_1153_Digging for rodenticide stuffs_02_Att1_20180111_FWS Rodenticide Media Request.pdf</t>
  </si>
  <si>
    <t>FOIA-FWS-2020-00724-0000242</t>
  </si>
  <si>
    <t>EMail - Rozol Mountain Beaver FAQ.pdf</t>
  </si>
  <si>
    <t>FOIA-FWS-2020-00724-0000243</t>
  </si>
  <si>
    <t>EMail - RE_ Rozol Mountain Beaver FAQ revised.pdf  There are two attachments in this email sting titled "Rozol Mountain Beaver FAQ 1- 30" and "Rozol Mountain Beaver FAQ 2- 1" which can be found elsewhere in this FOIA response.</t>
  </si>
  <si>
    <t>FOIA-FWS-2020-00724-0000244</t>
  </si>
  <si>
    <t>2018-0312_1538_SSNFWG winter metting notes &amp; a follow-up on female presence-absence protocol development_02_Att1_SSNFWG Spring 2018 notes FINAL.pdf</t>
  </si>
  <si>
    <t>FOIA-FWS-2020-00724-0000245</t>
  </si>
  <si>
    <t>EMail - Question sheet for presentations.pdf</t>
  </si>
  <si>
    <t>FOIA-FWS-2020-00724-0000246</t>
  </si>
  <si>
    <t>email attach 2_9_17Possible Questions to Ask Forestry Personnel.pdf</t>
  </si>
  <si>
    <t>FOIA-FWS-2020-00724-0000247</t>
  </si>
  <si>
    <t>FWS-R8-ES-2018-0105-0050_Att8.pdf</t>
  </si>
  <si>
    <t>FOIA-FWS-2020-00724-0000248</t>
  </si>
  <si>
    <t>Furnas etal 2017 Estimating population size of fishers using camera stations and home range data.pdf</t>
  </si>
  <si>
    <t>FOIA-FWS-2020-00724-0000249</t>
  </si>
  <si>
    <t>FWS-R8-ES-2018-0105-0064_Att5.pdf</t>
  </si>
  <si>
    <t>FOIA-FWS-2020-00724-0000250</t>
  </si>
  <si>
    <t>20170302_fL_template_clean.pdf</t>
  </si>
  <si>
    <t>FOIA-FWS-2020-00724-0000251</t>
  </si>
  <si>
    <t>2018-0311_1358_Annual Reports 2016 and 2017_02_Att1_Annual Report 2016 2017-03-11 tables figs DRA.pdf</t>
  </si>
  <si>
    <t>FOIA-FWS-2020-00724-0000252</t>
  </si>
  <si>
    <t>2018-0311_1258_Annual Reports 2016 and 2017_03_Att2_Annual Report 2016 -- 2017-03-11 DRAFT.pdf</t>
  </si>
  <si>
    <t>FOIA-FWS-2020-00724-0000253</t>
  </si>
  <si>
    <t>Balch et al 2017_Human-started wildfires expand the fire niche across the United States.pdf</t>
  </si>
  <si>
    <t>FOIA-FWS-2020-00724-0000254</t>
  </si>
  <si>
    <t>FWS-R8-ES-2018-0105-0063_Att3.pdf</t>
  </si>
  <si>
    <t>FOIA-FWS-2020-00724-0000255</t>
  </si>
  <si>
    <t>Greene etal 2017 Dynamic occupancy modelling hierarchy competition.pdf</t>
  </si>
  <si>
    <t>FOIA-FWS-2020-00724-0000256</t>
  </si>
  <si>
    <t>FWS-R8-ES-2018-0105-0064_Att4.pdf</t>
  </si>
  <si>
    <t>FOIA-FWS-2020-00724-0000257</t>
  </si>
  <si>
    <t>2018-0326_1601_[EXTERNAL] RE_Success in Translocations MS_02_Att1_Broadening the definition of success in anima.pdf</t>
  </si>
  <si>
    <t>FOIA-FWS-2020-00724-0000258</t>
  </si>
  <si>
    <t>Ahmadalipour etal 2017 International_Journal_of_Climatology.pdf</t>
  </si>
  <si>
    <t>FOIA-FWS-2020-00724-0000259</t>
  </si>
  <si>
    <t>Keeley and Syphard 2017_Differenthistoricalfire-climatepatternsinCalifornia.pdf</t>
  </si>
  <si>
    <t>FOIA-FWS-2020-00724-0000260</t>
  </si>
  <si>
    <t>FWS-R8-ES-2018-0105-0064_Att3.pdf</t>
  </si>
  <si>
    <t>FOIA-FWS-2020-00724-0000261</t>
  </si>
  <si>
    <t>Rich etal 2018-0118_1513_FW_Fisher_Carnivore Papers_02_Att5_Rich_2017_GlobalCarnivoreMonitoring_GEB.pdf</t>
  </si>
  <si>
    <t>FOIA-FWS-2020-00724-0000262</t>
  </si>
  <si>
    <t>IERC 2017 Final Report.pdf</t>
  </si>
  <si>
    <t>FOIA-FWS-2020-00724-0000263</t>
  </si>
  <si>
    <t>2017 Final Report for USFWS Agreement F16AP00732.pdf</t>
  </si>
  <si>
    <t>FOIA-FWS-2020-00724-0000264</t>
  </si>
  <si>
    <t>Thompson et al 2017_An ever-changing ecological battlefield marijuana cultivation and toxicant use in western forests.pdf</t>
  </si>
  <si>
    <t>FOIA-FWS-2020-00724-0000265</t>
  </si>
  <si>
    <t>Gabriel et al 2017_IERC Study Final Performance Report 2017.pdf</t>
  </si>
  <si>
    <t>FOIA-FWS-2020-00724-0000266</t>
  </si>
  <si>
    <t>Cremona_et_al-2017 mesopredator recovery.pdf</t>
  </si>
  <si>
    <t>FOIA-FWS-2020-00724-0000267</t>
  </si>
  <si>
    <t>CharacterizingNiblett et al 2017_ Habitat Elements and Their Distribution over Several Spatial Scales_ The Case of the Fisher.pdf</t>
  </si>
  <si>
    <t>FOIA-FWS-2020-00724-0000268</t>
  </si>
  <si>
    <t>2017-1101_1049_fisher tox ar for June_02_Att1_An ever-changing ecological battlefield.pdf</t>
  </si>
  <si>
    <t>FOIA-FWS-2020-00724-0000269</t>
  </si>
  <si>
    <t>CDFW 2017b cannabis restoration grant program FAQs.pdf</t>
  </si>
  <si>
    <t>FOIA-FWS-2020-00724-0000270</t>
  </si>
  <si>
    <t>Thomas et al 2017 Spatial model exposure to ARs Canada.pdf</t>
  </si>
  <si>
    <t>FOIA-FWS-2020-00724-0000271</t>
  </si>
  <si>
    <t>2017-0711_1358_New fisher paper_02_Att2_Aubry - Data Quality and Maxent Models 2017.pdf</t>
  </si>
  <si>
    <t>FOIA-FWS-2020-00724-0000272</t>
  </si>
  <si>
    <t>Hughes 2017 MJ legalization fuels black market.pdf</t>
  </si>
  <si>
    <t>FOIA-FWS-2020-00724-0000273</t>
  </si>
  <si>
    <t>2017_MOU_Fuels_Reduction_CSO_USFS_R5_SPI_NFWF_Cal_Fire.pdf</t>
  </si>
  <si>
    <t>FOIA-FWS-2020-00724-0000274</t>
  </si>
  <si>
    <t>Syphard etal 2017_Human presence diminishes the importance of climate in driving fire activity across the United States.pdf</t>
  </si>
  <si>
    <t>FOIA-FWS-2020-00724-0000275</t>
  </si>
  <si>
    <t>FWS-R8-ES-2018-0105-0059_Att10.pdf</t>
  </si>
  <si>
    <t>FOIA-FWS-2020-00724-0000276</t>
  </si>
  <si>
    <t>Polade etal 2017 Precipitation in a warming world_Assessing projected hydro-climate changes in California.pdf</t>
  </si>
  <si>
    <t>FOIA-FWS-2020-00724-0000277</t>
  </si>
  <si>
    <t>Greene etal 2017_Fire effects on fishers Poster.pdf</t>
  </si>
  <si>
    <t>FOIA-FWS-2020-00724-0000278</t>
  </si>
  <si>
    <t>2018-0816_1340_[EXTERNAL]Additional details - SSN Fisher working group meeting Sept 18-19_02_Att5_RailroadFirePerimeter_2017_09_10_Inciweb.pdf</t>
  </si>
  <si>
    <t>FOIA-FWS-2020-00724-0000279</t>
  </si>
  <si>
    <t>MAUCRSA 2017.pdf</t>
  </si>
  <si>
    <t>FOIA-FWS-2020-00724-0000280</t>
  </si>
  <si>
    <t>Safford and Stevens 2017 Mixed Conifer Forests Sierra Nevada SCascades Modoc Inyo NF.pdf</t>
  </si>
  <si>
    <t>FOIA-FWS-2020-00724-0000281</t>
  </si>
  <si>
    <t>Wang et al 2017_Cannabis, an emerging agricultural crop, leads to deforestation and fragmentation.pdf</t>
  </si>
  <si>
    <t>FOIA-FWS-2020-00724-0000282</t>
  </si>
  <si>
    <t>Gabriel Tox Fert.pdf</t>
  </si>
  <si>
    <t>FOIA-FWS-2020-00724-0000283</t>
  </si>
  <si>
    <t>Farber and Nicolls 2017_0033_Attachment8.pdf</t>
  </si>
  <si>
    <t>FOIA-FWS-2020-00724-0000284</t>
  </si>
  <si>
    <t>Marijuana Production in Forest Environments â€“Brief review.pdf</t>
  </si>
  <si>
    <t>FOIA-FWS-2020-00724-0000285</t>
  </si>
  <si>
    <t>CDFW 2017a cannabis restoration grants.pdf</t>
  </si>
  <si>
    <t>FOIA-FWS-2020-00724-0000286</t>
  </si>
  <si>
    <t>michelle_reilly@fws.gov Reilly, Michelle</t>
  </si>
  <si>
    <t>robert_carey@fws.gov Carey, Robert</t>
  </si>
  <si>
    <t>2017-1124_1212_Re_This Week's eWildlifer &amp; TWS Talks.pdf</t>
  </si>
  <si>
    <t>FOIA-FWS-2020-00724-0000287</t>
  </si>
  <si>
    <t>0033_Attachment4.pdf</t>
  </si>
  <si>
    <t>FOIA-FWS-2020-00724-0000288</t>
  </si>
  <si>
    <t>2017-1130_1608_Klamath fisher research_02_Att1_KlamathFisherResearchMap2017.pdf</t>
  </si>
  <si>
    <t>FOIA-FWS-2020-00724-0000289</t>
  </si>
  <si>
    <t>greendav@oregonstate.edu David Seth Green</t>
  </si>
  <si>
    <t>laura_finley@fws.gov Laura Finley robert_carey@fws.gov Robert Carey chad_anderson@fws.gov Anderson, Chad chagemann@fs.fed.us Hagemann, Cassandra -FS ecooper@fs.fed.us</t>
  </si>
  <si>
    <t>2017-1130_1608_Klamath fisher research_01.pdf</t>
  </si>
  <si>
    <t>KlamathFisherResearchMap2017.jpg</t>
  </si>
  <si>
    <t>FOIA-FWS-2020-00724-0000291</t>
  </si>
  <si>
    <t>CA trapping regs FG1389d.pdf</t>
  </si>
  <si>
    <t>FOIA-FWS-2020-00724-0000292</t>
  </si>
  <si>
    <t>Ellington et al 2017_Habitat patch use by fisher in decidous forest landscape of Appalachian Mtns.pdf</t>
  </si>
  <si>
    <t>FOIA-FWS-2020-00724-0000293</t>
  </si>
  <si>
    <t>Zielinski and Gray 2018 Stability of resting habitat in CA over 20 yrs.pdf</t>
  </si>
  <si>
    <t>FOIA-FWS-2020-00724-0000294</t>
  </si>
  <si>
    <t>Matthews etal 2017 final progress report.pdf</t>
  </si>
  <si>
    <t>FOIA-FWS-2020-00724-0000295</t>
  </si>
  <si>
    <t>Matthews Green 2017 F17AC00161 interim performance report.pdf</t>
  </si>
  <si>
    <t>FOIA-FWS-2020-00724-0000296</t>
  </si>
  <si>
    <t>Kirby et al 2018_Poor body condition and diet diversity in harvested fishers.pdf</t>
  </si>
  <si>
    <t>FOIA-FWS-2020-00724-0000297</t>
  </si>
  <si>
    <t>McCann et al 2018 activity of fishers at multiple scales.pdf</t>
  </si>
  <si>
    <t>FOIA-FWS-2020-00724-0000298</t>
  </si>
  <si>
    <t>McKelvey and Buotte 2018_Effects of climate change on wildlife in the northern rockies.pdf</t>
  </si>
  <si>
    <t>FOIA-FWS-2020-00724-0000299</t>
  </si>
  <si>
    <t>2018-1030_1221_cannabis in CA_02_Att1_Butic+et+al 2018 Environ. Res. Lett. 10.1088 1748-9326 aaeade.pdf</t>
  </si>
  <si>
    <t>FOIA-FWS-2020-00724-0000300</t>
  </si>
  <si>
    <t>Parsons_2018_forest_mgmt_prey_predator_FX_on_fisher_WA.pdf</t>
  </si>
  <si>
    <t>FOIA-FWS-2020-00724-0000301</t>
  </si>
  <si>
    <t>Dotters etal 2018 SPI MOU.pdf</t>
  </si>
  <si>
    <t>FOIA-FWS-2020-00724-0000302</t>
  </si>
  <si>
    <t>IERC USFS 2018 Automated Remote Grow Identification.pdf</t>
  </si>
  <si>
    <t>FOIA-FWS-2020-00724-0000303</t>
  </si>
  <si>
    <t>Grantham 2018_4th Calif Climate Report_NorthCoastRegion.pdf</t>
  </si>
  <si>
    <t>FOIA-FWS-2020-00724-0000304</t>
  </si>
  <si>
    <t>Thompson 2018_Presentation_Impacts of illegal marijuana cultivation on wildlife in the Sierra Nevada.pdf</t>
  </si>
  <si>
    <t>FOIA-FWS-2020-00724-0000305</t>
  </si>
  <si>
    <t>Thompson and Gabriel 2018_Presentation_Canary in the marijuana field.pdf</t>
  </si>
  <si>
    <t>FOIA-FWS-2020-00724-0000306</t>
  </si>
  <si>
    <t>Ackerly etal 2018.pdf</t>
  </si>
  <si>
    <t>FOIA-FWS-2020-00724-0000307</t>
  </si>
  <si>
    <t>Bedsworth etal 2018.pdf</t>
  </si>
  <si>
    <t>FOIA-FWS-2020-00724-0000308</t>
  </si>
  <si>
    <t>Bureau of Cannabis Control 2018 Annual Report.pdf</t>
  </si>
  <si>
    <t>FOIA-FWS-2020-00724-0000309</t>
  </si>
  <si>
    <t>Franklin etal 2018.pdf</t>
  </si>
  <si>
    <t>FOIA-FWS-2020-00724-0000310</t>
  </si>
  <si>
    <t>Gabriel etal 2018 exposure to rodenticides in NSO and barred owls.pdf</t>
  </si>
  <si>
    <t>FOIA-FWS-2020-00724-0000311</t>
  </si>
  <si>
    <t>Hindmarch and Elliott 2018 Ecological Factors Driving Uptake.pdf</t>
  </si>
  <si>
    <t>FOIA-FWS-2020-00724-0000312</t>
  </si>
  <si>
    <t>Rattner and Mastrota 2018 Anticoagulant Rodenticide Toxicity to Non-Target Wildlife.pdf</t>
  </si>
  <si>
    <t>FOIA-FWS-2020-00724-0000313</t>
  </si>
  <si>
    <t>Restaino and Safford 2018 Fire Climate Change.pdf</t>
  </si>
  <si>
    <t>FOIA-FWS-2020-00724-0000314</t>
  </si>
  <si>
    <t>Sabet 2018_Marijuana and Legalization Impacts.pdf</t>
  </si>
  <si>
    <t>FOIA-FWS-2020-00724-0000315</t>
  </si>
  <si>
    <t>Shore and Coeurdassier 2018.pdf</t>
  </si>
  <si>
    <t>FOIA-FWS-2020-00724-0000316</t>
  </si>
  <si>
    <t>Skinner etal 2018 Klamath Mountains Fire.pdf</t>
  </si>
  <si>
    <t>FOIA-FWS-2020-00724-0000317</t>
  </si>
  <si>
    <t>Stephens etal 2018 historical modern forests northern Sierra.pdf</t>
  </si>
  <si>
    <t>FOIA-FWS-2020-00724-0000318</t>
  </si>
  <si>
    <t>Stephens etal 2018b North Coast Fire.pdf</t>
  </si>
  <si>
    <t>FOIA-FWS-2020-00724-0000319</t>
  </si>
  <si>
    <t>Automated Remote Grow Identification-1pager_Final (3).pdf</t>
  </si>
  <si>
    <t>FOIA-FWS-2020-00724-0000320</t>
  </si>
  <si>
    <t>Exposure_to_rodenticides_in_Northern_Spotted_and_B.pdf</t>
  </si>
  <si>
    <t>FOIA-FWS-2020-00724-0000321</t>
  </si>
  <si>
    <t xml:space="preserve">OFRI 2018 Wildlife Managed Forests Fisher and Humbolt Marten.pdf
</t>
  </si>
  <si>
    <t>FOIA-FWS-2020-00724-0000322</t>
  </si>
  <si>
    <t>laura_finley@fws.gov Laura Finley shaughn_galloway@fws.gov Shaughn Galloway michelle_reilly@fws.gov Michelle Reilly</t>
  </si>
  <si>
    <t>2018-0104_Fwd_pennanti - new results.pdf  For the linked document in the email string, see the document titled: "Greene etal 2017 Dynamic occupancy modelling hierarchy competition for the attachment".</t>
  </si>
  <si>
    <t>FOIA-FWS-2020-00724-0000323</t>
  </si>
  <si>
    <t>FWS-R8-ES-2018-0105-0002_Att1.pdf</t>
  </si>
  <si>
    <t>FOIA-FWS-2020-00724-0000324</t>
  </si>
  <si>
    <t>2018-1203_1453_Martes Symposium-abstracts extracted from program_02_Att1_Martes Symposium July 2018_Selected abstracts .pdf</t>
  </si>
  <si>
    <t>FOIA-FWS-2020-00724-0000325</t>
  </si>
  <si>
    <t>Lydersen and Collins 2018_Change in VegPatterns Over Large Forested Landscape_Aerial Photography.pdf</t>
  </si>
  <si>
    <t>FOIA-FWS-2020-00724-0000326</t>
  </si>
  <si>
    <t>mgabriel@iercecology.org Mourad Gabriel</t>
  </si>
  <si>
    <t>mgabriel@iercecology.org Mourad Gabriel IERC</t>
  </si>
  <si>
    <t>2018-0111_IERC-UC Davis News_Marijuana farms expose spottted owls to rat poison.pdf All the links in this email work.</t>
  </si>
  <si>
    <t>FOIA-FWS-2020-00724-0000327</t>
  </si>
  <si>
    <t>gina_glenne@fws.gov Glenne, Gina</t>
  </si>
  <si>
    <t>laura_finley@fws.gov Laura Finley jenny_ericson@fws.gov Jenny Ericson</t>
  </si>
  <si>
    <t>2018-0111_Digging for rodenticide stuffs_01.pdf</t>
  </si>
  <si>
    <t>20180111_FWS Rodenticide Media Request.docx</t>
  </si>
  <si>
    <t>FOIA-FWS-2020-00724-0000329</t>
  </si>
  <si>
    <t>2018-0112_1140_Re_Digging for rodenticide stuffs_02_Att1_Impacts of Marijuana on Wildlife and Refuge L.pdf</t>
  </si>
  <si>
    <t>FOIA-FWS-2020-00724-0000330</t>
  </si>
  <si>
    <t>jenny_ericson@fws.gov Ericson, Jenny</t>
  </si>
  <si>
    <t>2018-0112_Re_Digging for rodenticide stuffs_01.pdf</t>
  </si>
  <si>
    <t>Impacts of Marijuana on Wildlife and Refuge Lands 2018.docx</t>
  </si>
  <si>
    <t>FOIA-FWS-2020-00724-0000332</t>
  </si>
  <si>
    <t>brendaolson@fs.fed.us Olson, Brenda - FS</t>
  </si>
  <si>
    <t>laura_finley@fws.gov christine_jordan@fws.gov Jordan, Christine</t>
  </si>
  <si>
    <t>2018-0118_FW_Fisher_Carnivore Papers_01.pdf</t>
  </si>
  <si>
    <t>Rich_2017_GlobalCarnivoreMonitoring_GEB.pdf</t>
  </si>
  <si>
    <t>Tucker_2017_SexBiasDispersalGeneFlow_Ecosphere.pdf</t>
  </si>
  <si>
    <t>Zielinski_Tucker_Rennie_2017_FisherMartenNiche.pdf</t>
  </si>
  <si>
    <t>FOIA-FWS-2020-00724-0000336</t>
  </si>
  <si>
    <t>2018-0126_1236_Fwd_Agreement F11AC01286 Decision Support Maps &amp; Models for the West Coast DPS of the Fisher_02_Att1_Cultivation Plot Cold Creek.pdf</t>
  </si>
  <si>
    <t>FOIA-FWS-2020-00724-0000337</t>
  </si>
  <si>
    <t>2018-0126_1236_Fwd_Agreement F11AC01286 Decision Support Maps &amp; Models for the West Coast DPS of the Fisher_04_Att3_Humboldt marten.pdf</t>
  </si>
  <si>
    <t>FOIA-FWS-2020-00724-0000338</t>
  </si>
  <si>
    <t>2018-0126_1236_Fwd_Agreement F11AC01286 Decision Support Maps &amp; Models for the West Coast DPS of the Fisher_05_Att4_NSOW.pdf</t>
  </si>
  <si>
    <t>FOIA-FWS-2020-00724-0000339</t>
  </si>
  <si>
    <t>2018-0126_1236_Fwd_Agreement F11AC01286 Decision Support Maps &amp; Models for the West Coast DPS of the Fisher_06_Att5_Caption for photos.pdf</t>
  </si>
  <si>
    <t>FOIA-FWS-2020-00724-0000340</t>
  </si>
  <si>
    <t>2018-0126_1236_Fwd_Agreement F11AC01286 Decision Support Maps &amp; Models for the West Coast DPS of the Fisher_07_Att6_Final_Prog_Rpt_Mar2017.pdf</t>
  </si>
  <si>
    <t>FOIA-FWS-2020-00724-0000341</t>
  </si>
  <si>
    <t>2018-0126_1136_Fwd_Agreement F11AC01286 Decision Support Maps and_04_Att3_Humboldt marten.pdf</t>
  </si>
  <si>
    <t>FOIA-FWS-2020-00724-0000342</t>
  </si>
  <si>
    <t>laura_finley@fws.gov Finley, Laura</t>
  </si>
  <si>
    <t>michelle_reilly@fws.gov Michelle Reilly robert_carey@fws.gov Robert Carey shaughn_galloway@fws.gov Shaughn Galloway christine_jordan@fws.gov Christine Jordan gina_glenne@fws.gov Gina Glenne</t>
  </si>
  <si>
    <t>2018-0126_Fwd_Agreement F11AC01286 Decision Support Maps &amp; Models for the West Coast DPS of the Fisher_01.pdf</t>
  </si>
  <si>
    <t>Caption for photos.docx</t>
  </si>
  <si>
    <t>Cultivation Plot Cold Creek.JPG</t>
  </si>
  <si>
    <t>Final_Programmatic_Report_March2017.docx</t>
  </si>
  <si>
    <t>Fisher risk map.jpg</t>
  </si>
  <si>
    <t>Humboldt marten risk map.jpg</t>
  </si>
  <si>
    <t>NSOW map.jpg</t>
  </si>
  <si>
    <t>FOIA-FWS-2020-00724-0000349</t>
  </si>
  <si>
    <t>USDA_USFS_2018_Draft Conservation Strategy for CA Spotted Owl, ver1fseprd571788.pdf</t>
  </si>
  <si>
    <t>FOIA-FWS-2020-00724-0000350</t>
  </si>
  <si>
    <t>20180225_Memo_Evolution of CH Economic Analysis and Current Approach.pdf</t>
  </si>
  <si>
    <t>FOIA-FWS-2020-00724-0000351</t>
  </si>
  <si>
    <t>Crosby and Porter 2018-0419_0830_population estimation_02_Att1_A spatially explicit, multi-scale occupancy model.pdf</t>
  </si>
  <si>
    <t>FOIA-FWS-2020-00724-0000352</t>
  </si>
  <si>
    <t>USDA 2018_OIG report re USFS tracking.pdf</t>
  </si>
  <si>
    <t>FOIA-FWS-2020-00724-0000353</t>
  </si>
  <si>
    <t>Easterday et al 2018_Land ownership and 20th century changes to forest structure in California.pdf</t>
  </si>
  <si>
    <t>FOIA-FWS-2020-00724-0000354</t>
  </si>
  <si>
    <t>2018-0318_1251_FW_EKSA Species ID Report - update_02_Att3_EKSA_Species ID Report_3_8_18.pdf</t>
  </si>
  <si>
    <t>FOIA-FWS-2020-00724-0000355</t>
  </si>
  <si>
    <t>Aubry and Raley 2018_Selection of rest structures by fishers in OR.pdf</t>
  </si>
  <si>
    <t>FOIA-FWS-2020-00724-0000356</t>
  </si>
  <si>
    <t>david.green@oregonstate.edu Green, David S</t>
  </si>
  <si>
    <t>Sean.Matthews@oregonstate.edu Matthews, Sean Michael laura_finley@fws.gov Laura_Finley@fws.gov</t>
  </si>
  <si>
    <t>2018-0318_FW_EKSA Species ID Report - update_01.pdf</t>
  </si>
  <si>
    <t>EKSA_Species ID Report_3_8_18.docx</t>
  </si>
  <si>
    <t>FOIA-FWS-2020-00724-0000358</t>
  </si>
  <si>
    <t>2018-0308_Fwd_New fisher paper from Oregon_01.pdf</t>
  </si>
  <si>
    <t>Aubry et al 2018 - Selection of Fisher Rest Struct.docx</t>
  </si>
  <si>
    <t>FOIA-FWS-2020-00724-0000360</t>
  </si>
  <si>
    <t>rpowell@ncsu.edu RogerPowell</t>
  </si>
  <si>
    <t>2018-0311_Annual Reports 2016 and 2017_01.pdf</t>
  </si>
  <si>
    <t>Annual Report 2016 -- 2017-03-11 DRAFT.docx</t>
  </si>
  <si>
    <t>Annual Report 2016 2017-03-11 tables figs DRA.docx</t>
  </si>
  <si>
    <t>FOIA-FWS-2020-00724-0000363</t>
  </si>
  <si>
    <t>Parkins etal 2018.pdf</t>
  </si>
  <si>
    <t>FOIA-FWS-2020-00724-0000364</t>
  </si>
  <si>
    <t>2018-0326_1501_[EXTERNAL]RE_Success in Translocations MS_02_Att1_Broadening the definition of success in animal and.pdf</t>
  </si>
  <si>
    <t>FOIA-FWS-2020-00724-0000365</t>
  </si>
  <si>
    <t>Broadening the definition of success in animal and plant translocations_....docx</t>
  </si>
  <si>
    <t>FOIA-FWS-2020-00724-0000366</t>
  </si>
  <si>
    <t>Deana.Clifford@wildlife.ca.gov Clifford, Deana@Wildlife</t>
  </si>
  <si>
    <t>Sean.Matthews@oregonstate.edu Matthews, Sean Michael aaron.facka@oregonstate.edu Facka, Aaron TEngstrom@spi-ind.com Tom Engstrom EMurphy@spi-ind.com Ed Murphy Pete.Figura@wildlife.ca.gov Figura, Pete@Wildlife Richard.Callas@wildlife.ca.gov Callas, Richard@Wildlife laura_finley@fws.gov newf@ncsu.edu</t>
  </si>
  <si>
    <t>2018-0326_[EXTERNAL] RE_Success in Translocations MS_01.pdf The original attachment is titled: "Broadening the definition of success in animal and plant translocations_..." and can be found elsewhere in this FOIA response.</t>
  </si>
  <si>
    <t>Facka and Powell 2018 DRAFT Broadening the definition of success in animal and plant translocations.docx</t>
  </si>
  <si>
    <t>Kohlmann_2005-population-viability-analysis-is.pdf</t>
  </si>
  <si>
    <t>FOIA-FWS-2020-00724-0000369</t>
  </si>
  <si>
    <t>ODF 2018 ODF Forest Practice Administrative Rules and Forest Practices Act.pdf</t>
  </si>
  <si>
    <t>FOIA-FWS-2020-00724-0000370</t>
  </si>
  <si>
    <t>2018-1203_1646_New Fisher Information from Washington_04_Att3_CFRP_NecropsyReport_F002_CASE edits.pdf</t>
  </si>
  <si>
    <t>FOIA-FWS-2020-00724-0000371</t>
  </si>
  <si>
    <t>2018-1203_1646_New Fisher Information from Washington_05_Att4_CFRP_NecropsyReport_F047_CASE edits.pdf</t>
  </si>
  <si>
    <t>FOIA-FWS-2020-00724-0000372</t>
  </si>
  <si>
    <t>2018-1203_1646_New Fisher Information from Washington_06_Att5_CFRP_NecropsyReport_F052_CASE edits.pdf</t>
  </si>
  <si>
    <t>FOIA-FWS-2020-00724-0000373</t>
  </si>
  <si>
    <t>2018-1203_1646_New Fisher Information from Washington_09_Att8_CFRP_NecropsyReport_F065_CASE edits.pdf</t>
  </si>
  <si>
    <t>FOIA-FWS-2020-00724-0000374</t>
  </si>
  <si>
    <t>2018-1203_1646_New Fisher Information from Washington_10_Att9_CFRP_NecropsyReport_F086_CASE edits.pdf</t>
  </si>
  <si>
    <t>FOIA-FWS-2020-00724-0000375</t>
  </si>
  <si>
    <t>michelle_reilly@fws.gov Michelle Reilly shaughn_galloway@fws.gov Shaughn Galloway laura_finley@fws.gov Laura Finley christine_jordan@fws.gov Jordan, Christine jennifer_jones@fws.gov Jennifer Jones gina_glenne@fws.gov Gina Glenne nadine_kanim@fws.gov Kanim, Nadine</t>
  </si>
  <si>
    <t>2018-0419_population estimation_01.pdf</t>
  </si>
  <si>
    <t>Crosby and Porter. 2018. A spatially explicit, multi-scale occupancy model.pdf</t>
  </si>
  <si>
    <t>FOIA-FWS-2020-00724-0000377</t>
  </si>
  <si>
    <t>Max Ent R6.pdf</t>
  </si>
  <si>
    <t>FOIA-FWS-2020-00724-0000378</t>
  </si>
  <si>
    <t>Green etal 2018-0424_1206_Re_marten rest site MS thesis Lassen NF_02_Att1_Greenetal2018_ReproStatusFisherSoSierraNevada.pdf</t>
  </si>
  <si>
    <t>FOIA-FWS-2020-00724-0000379</t>
  </si>
  <si>
    <t>2018-0424_Re_marten rest site MS thesis Lassen NF_01.pdf</t>
  </si>
  <si>
    <t>Green_etal_2018_ReproStatusFisherSoSierraNevada.pdf</t>
  </si>
  <si>
    <t>FOIA-FWS-2020-00724-0000381</t>
  </si>
  <si>
    <t>Serra-Diaz etal 2018 decline of Klamath Forests.pdf</t>
  </si>
  <si>
    <t>FOIA-FWS-2020-00724-0000382</t>
  </si>
  <si>
    <t>067989 Signed Memorandum.pdf</t>
  </si>
  <si>
    <t>FOIA-FWS-2020-00724-0000383</t>
  </si>
  <si>
    <t>laura_finley@fws.gov Laura Finley</t>
  </si>
  <si>
    <t>2018-0516_[EXTERNAL] one pager_01.pdf</t>
  </si>
  <si>
    <t>Gabriel_One_Pager_DC_2018.pdf</t>
  </si>
  <si>
    <t>FOIA-FWS-2020-00724-0000385</t>
  </si>
  <si>
    <t>2018-1203_1646_New Fisher Information from Washington_08_Att7_CFRP_NecropsyReport_F051_CASE edits.pdf</t>
  </si>
  <si>
    <t>FOIA-FWS-2020-00724-0000386</t>
  </si>
  <si>
    <t>FWS-R8-ES-2018-0105-0050_Att3.pdf</t>
  </si>
  <si>
    <t>FOIA-FWS-2020-00724-0000387</t>
  </si>
  <si>
    <t>Spies_etal_2018_NWFP_science_synthesis_pnw_gtr966_Vol1.pdf</t>
  </si>
  <si>
    <t>FOIA-FWS-2020-00724-0000388</t>
  </si>
  <si>
    <t>Spies_etal_2018_NWFP_science_synthesis_pnw_gtr966_Vol2.pdf</t>
  </si>
  <si>
    <t>FOIA-FWS-2020-00724-0000389</t>
  </si>
  <si>
    <t>0028_Attachment2_North Landscape Project EA.pdf</t>
  </si>
  <si>
    <t>FOIA-FWS-2020-00724-0000390</t>
  </si>
  <si>
    <t>KUOW Article June 2018_Aerial Survey Flights and Fishers in WA.pdf</t>
  </si>
  <si>
    <t>FOIA-FWS-2020-00724-0000391</t>
  </si>
  <si>
    <t>Zald and Dunn 2018_Severe fire weather and intensive forest mgt increas fire severity.pdf</t>
  </si>
  <si>
    <t>FOIA-FWS-2020-00724-0000392</t>
  </si>
  <si>
    <t>Loarie etal 2008 Climate change and the future of California Flora.pdf</t>
  </si>
  <si>
    <t>FOIA-FWS-2020-00724-0000393</t>
  </si>
  <si>
    <t>Marcot etal 2018 in  NWFP Vol 2-Chapter 6 Other Species and Biodiversity.pdf</t>
  </si>
  <si>
    <t>FOIA-FWS-2020-00724-0000394</t>
  </si>
  <si>
    <t>Spies etal 2018 Disturbance NWFP.pdf</t>
  </si>
  <si>
    <t>FOIA-FWS-2020-00724-0000395</t>
  </si>
  <si>
    <t>2018-0619_1629_FW_Latest Report from RMRS_02_Att1_ReportBLM_Klamath_Fisher samples 6_14_18.pdf</t>
  </si>
  <si>
    <t>FOIA-FWS-2020-00724-0000396</t>
  </si>
  <si>
    <t>20180618_Fisher2019revpL.pdf</t>
  </si>
  <si>
    <t>FOIA-FWS-2020-00724-0000397</t>
  </si>
  <si>
    <t>elizabeth_willy@fws.gov Elizabeth Willy</t>
  </si>
  <si>
    <t>laura_finley@fws.gov Finley, Laura sue_livingston@fws.gov Sue Livingston</t>
  </si>
  <si>
    <t>2018-0619_FW_Latest Report from RMRS_01.pdf</t>
  </si>
  <si>
    <t>ReportBLM_Klamath_Fisher samples 6_14_18.docx</t>
  </si>
  <si>
    <t>FOIA-FWS-2020-00724-0000399</t>
  </si>
  <si>
    <t>USFWS 2018_Coastal Marten SSAv2.0_20181009.pdf</t>
  </si>
  <si>
    <t>FOIA-FWS-2020-00724-0000400</t>
  </si>
  <si>
    <t>FWS-R8-ES-2018-0105-0059_Att9.pdf</t>
  </si>
  <si>
    <t>FOIA-FWS-2020-00724-0000401</t>
  </si>
  <si>
    <t>USFWS 2018_20181009_Coastal_Marten_SSA_v2.0.pdf</t>
  </si>
  <si>
    <t>FOIA-FWS-2020-00724-0000402</t>
  </si>
  <si>
    <t>FWS-R8-ES-2018-0105-0029_Att1.pdf</t>
  </si>
  <si>
    <t>FOIA-FWS-2020-00724-0000403</t>
  </si>
  <si>
    <t>Frost 2018_0028_Attachment2_Ecological Connectivity Assess in Cascade-Siskiyou of So OR and Nor CA.pdf</t>
  </si>
  <si>
    <t>FOIA-FWS-2020-00724-0000404</t>
  </si>
  <si>
    <t>Westerling 2018 wildfire simulations Projections.pdf</t>
  </si>
  <si>
    <t>FOIA-FWS-2020-00724-0000405</t>
  </si>
  <si>
    <t>Hayhoe etal 2004 Emissions Pathways Climate Change and Impacts on CA.pdf</t>
  </si>
  <si>
    <t>FOIA-FWS-2020-00724-0000406</t>
  </si>
  <si>
    <t>2018-0831_1603_Re_[EXTERNAL] SPI Barred Liver Samples_02_Att1_DeerLick_Operational Stats.pdf</t>
  </si>
  <si>
    <t>FOIA-FWS-2020-00724-0000407</t>
  </si>
  <si>
    <t>2018-0831_1603_Re_[EXTERNAL] SPI Barred Liver Samples_01.pdf</t>
  </si>
  <si>
    <t>DeerLick_Operational Stats.pdf</t>
  </si>
  <si>
    <t>FOIA-FWS-2020-00724-0000409</t>
  </si>
  <si>
    <t>0028_Attachment2_Seiad-Horse Risk Reduction Project EA.pdf</t>
  </si>
  <si>
    <t>FOIA-FWS-2020-00724-0000410</t>
  </si>
  <si>
    <t>Moritz etal 2018 A Statement of Common Ground Regarding the Role.pdf</t>
  </si>
  <si>
    <t>FOIA-FWS-2020-00724-0000411</t>
  </si>
  <si>
    <t>Nikita.Dudley@Wildlife.ca.gov Dudley, Nikita@Wildlife</t>
  </si>
  <si>
    <t>2018-0918_1825_[EXTERNAL]APR for 2016 Section 6 Award Marijuana Cultivation F17AP00094-G1698098_01.pdf</t>
  </si>
  <si>
    <t>F17AP00094_APR_FNL_09182018.docx</t>
  </si>
  <si>
    <t>F17AP00094_APR_FNL_09182018.pdf</t>
  </si>
  <si>
    <t>FOIA-FWS-2020-00724-0000414</t>
  </si>
  <si>
    <t>2018-0926_1156_[EXTERNAL]Meeting notes and federal listing court update_02_Att5_September 19 2017_SSNFWG Meeting Notes.pdf</t>
  </si>
  <si>
    <t>FOIA-FWS-2020-00724-0000415</t>
  </si>
  <si>
    <t>2018-0926_1156_[EXTERNAL]Meeting notes and federal listing court update_03_Att6_80 Order on Cross-MSJs 9-21-18_PacificFisher.pdf</t>
  </si>
  <si>
    <t>FOIA-FWS-2020-00724-0000416</t>
  </si>
  <si>
    <t>2018-0926_1156_[EXTERNAL]Meeting notes and federal listing court update_04_Att7_81 - judgment_PacificFisher_Sept2018.pdf</t>
  </si>
  <si>
    <t>FOIA-FWS-2020-00724-0000417</t>
  </si>
  <si>
    <t>O'Hara, Kerry</t>
  </si>
  <si>
    <t>Long, Michael J; Russell, Daniel; Fris, Michael; Ericson, Jenny; Glenne, Gina; Finley, Laura; Kanim, Nadine; Crowell, Heidi; Zwartjes, Michele; Livingston, Sue; Moynan, Kathleen; Devolder, Andy; Gilbert, Parks; Norris, Jennifer</t>
  </si>
  <si>
    <t>Fwd: [EXTERNAL] FW: Activity in Case 3:16-cv-06040-WHA Center For Biological Diversity et al v. Fish and Wildlife Services of the United States et al Order on Motion for Summary Judgment</t>
  </si>
  <si>
    <t>Fisher Decision.pdf</t>
  </si>
  <si>
    <t>FOIA-FWS-2020-00724-0000419</t>
  </si>
  <si>
    <t>Roberts, Lynn</t>
  </si>
  <si>
    <t>Bill McIver; Clint Pogue; Gregory Schmidt; Jenny Hutchinson; John E Hunter; John Peters; Katherine Siedel; Kathleen Brubaker; Laurel Goldsmith; Liisa Schmoele; Susan Neel-Goodsir; Susie Tharratt; Everson, Dan; Norris, Jennifer</t>
  </si>
  <si>
    <t xml:space="preserve">Fisher </t>
  </si>
  <si>
    <t>FOIA-FWS-2020-00724-0000420</t>
  </si>
  <si>
    <t>Ericson, Jenny</t>
  </si>
  <si>
    <t>Glenne, Gina; Finley, Laura</t>
  </si>
  <si>
    <t>Fwd: Invitation: fisher call re: remand timeframe @ Mon Oct 1, 2018 12:30pm - 1pm (PDT) (jenny_ericson@fws.gov)</t>
  </si>
  <si>
    <t>Commercial Information</t>
  </si>
  <si>
    <t>parks_gilbert@fws.gov</t>
  </si>
  <si>
    <t>parks_gilbert@fws.gov;michael_long@fws.gov;joan.goldfarb@sol.doi.gov;ellen_mcbride@fws.gov;kathleen_moynan@fws.gov;sarah_quamme@fws.gov;jenny_ericson@fws.gov;kerry.o'hara@sol.doi.gov;carey_galst@fws.gov;bridget_fahey@fws.gov;daniel_russell@fws.gov</t>
  </si>
  <si>
    <t>invite.ics</t>
  </si>
  <si>
    <t>FOIA-FWS-2020-00724-0000422</t>
  </si>
  <si>
    <t>Deana.Clifford@wildlife.ca.gov Clifford, Deana@Wildlife laura_finley@fws.gov Laura Finley</t>
  </si>
  <si>
    <t>2018-0924_1236_[EXTERNAL] Fisher Samples_Data and Support Gaps.pdf</t>
  </si>
  <si>
    <t>FOIA-FWS-2020-00724-0000423</t>
  </si>
  <si>
    <t>Livingston, Sue</t>
  </si>
  <si>
    <t>Thrailkill, Jim; Willy, Elizabeth</t>
  </si>
  <si>
    <t>FW: [EXTERNAL] FW: Activity in Case 3:16-cv-06040-WHA Center For Biological Diversity et al v. Fish and Wildlife Services of the United States et al Order on Motion for Summary Judgment</t>
  </si>
  <si>
    <t>FOIA-FWS-2020-00724-0000425</t>
  </si>
  <si>
    <t>Sue Livingston</t>
  </si>
  <si>
    <t>Jenny Ericson</t>
  </si>
  <si>
    <t>RE: Looks like we lost fisher case</t>
  </si>
  <si>
    <t>FOIA-FWS-2020-00724-0000426</t>
  </si>
  <si>
    <t>2018-0926_0804_Re_[EXTERNAL] Fisher Samples_Data and Support Gaps_02_Att1_Gabriel_Owl_2018.pdf</t>
  </si>
  <si>
    <t>FOIA-FWS-2020-00724-0000427</t>
  </si>
  <si>
    <t>2018-0926_0804_Re_[EXTERNAL] Fisher Samples_Data and Support Gaps_01.pdf</t>
  </si>
  <si>
    <t>Gabriel_Owl_2018.pdf</t>
  </si>
  <si>
    <t>FOIA-FWS-2020-00724-0000429</t>
  </si>
  <si>
    <t>Moynan, Kathleen</t>
  </si>
  <si>
    <t>Michael Schoessler; Carmen Thomas; Jeffrey Bernstein; Kit Hershey; Sarah Hall; Rebecca Migala; Zwartjes, Michele; Marilet Zablan</t>
  </si>
  <si>
    <t>Fwd: Pacfic Fisher: opinion and case summary  The link in this email string works.</t>
  </si>
  <si>
    <t>FOIA-FWS-2020-00724-0000430</t>
  </si>
  <si>
    <t>Blohmdahl et al 2019_Importance of small fire refugia in the central Sierra Nevada.pdf</t>
  </si>
  <si>
    <t>FOIA-FWS-2020-00724-0000431</t>
  </si>
  <si>
    <t>Blomdahl_2018_EffectOfFireOnForestStructurePredictiveOfFisherDenHabitat.pdf</t>
  </si>
  <si>
    <t>FOIA-FWS-2020-00724-0000432</t>
  </si>
  <si>
    <t>Thrailkill, Jim</t>
  </si>
  <si>
    <t>FW: FW: Fisher Decision</t>
  </si>
  <si>
    <t>Gabriel fisher slides.pdf</t>
  </si>
  <si>
    <t>FOIA-FWS-2020-00724-0000435</t>
  </si>
  <si>
    <t>2018-1003_1427_[EXTERNAL]Re_Poster for review_02_Att1_SAF 2018 Facka et alii Fisher  Reintro_rc_comm.pdf</t>
  </si>
  <si>
    <t>FOIA-FWS-2020-00724-0000436</t>
  </si>
  <si>
    <t>Johnson, Jan</t>
  </si>
  <si>
    <t>Garner, Kim; Livingston, Sue</t>
  </si>
  <si>
    <t>RE: FW: Fisher Decision</t>
  </si>
  <si>
    <t>FOIA-FWS-2020-00724-0000437</t>
  </si>
  <si>
    <t>2018-1003_1427_[EXTERNAL]Re_Poster for review_01.pdf</t>
  </si>
  <si>
    <t>SAF 2018 Facka et alii Fisher  Reintro_rc_comm.pdf</t>
  </si>
  <si>
    <t>FOIA-FWS-2020-00724-0000439</t>
  </si>
  <si>
    <t>2018-1004_0020_[EXTERNAL]Fisher breeding and reproduction manuscript_02_Att1_Smith, Facka &amp; Powell ms Clarifying Fisher Br.pdf</t>
  </si>
  <si>
    <t>FOIA-FWS-2020-00724-0000440</t>
  </si>
  <si>
    <t>richardcallas@yahoo.com Pete.Figura@wildlife.ca.gov Pete Figura emurphy@spi-ind.com tengstrom@spi-ind.com Tom Engstrom laura_finley@fws.gov Laura Finley</t>
  </si>
  <si>
    <t>2018-1004_0020_[EXTERNAL]Fisher breeding and reproduction manuscript_01.pdf</t>
  </si>
  <si>
    <t>Smith, Facka &amp; Powell ms Clarifying Fisher Br.docx</t>
  </si>
  <si>
    <t>FOIA-FWS-2020-00724-0000442</t>
  </si>
  <si>
    <t>Gilbert, Parks</t>
  </si>
  <si>
    <t>Barbara Hosler; Drew Crane; Justin Shoemaker; Kit Hershey; Krishna Gifford; Russell, Daniel; Sarah Quamme; Shawn Sartorius; Timothy Merritt; Colleen Fahey</t>
  </si>
  <si>
    <t>recent S4 case summaries</t>
  </si>
  <si>
    <t>Oct case summaries.docx</t>
  </si>
  <si>
    <t>FOIA-FWS-2020-00724-0000444</t>
  </si>
  <si>
    <t>2018-1004_0905_[EXTERNAL]Re_Poster for review.pdf</t>
  </si>
  <si>
    <t>FOIA-FWS-2020-00724-0000445</t>
  </si>
  <si>
    <t>Willy, Elizabeth</t>
  </si>
  <si>
    <t>Re: Fisher status question</t>
  </si>
  <si>
    <t>FOIA-FWS-2020-00724-0000446</t>
  </si>
  <si>
    <t>Buotte etal 2018_Near future forest vulnerability to drought and fire.pdf</t>
  </si>
  <si>
    <t>FOIA-FWS-2020-00724-0000447</t>
  </si>
  <si>
    <t xml:space="preserve">Barred Owl Research Needs in California_2018_Final.pdf
</t>
  </si>
  <si>
    <t>FOIA-FWS-2020-00724-0000448</t>
  </si>
  <si>
    <t>jwiens@usgs.gov David Wiens</t>
  </si>
  <si>
    <t>robert_carey@fws.gov Robert Carey laura_finley@fws.gov Laura Finley</t>
  </si>
  <si>
    <t>2018-1011_1522_RE_Barred Owl Research Needs - Final Report to CDFW.pdf  The attachment in the email string is titled: "Barred Owl Research Needs in Californi_2018_Final" and is available elsewhere in this FOIA response.</t>
  </si>
  <si>
    <t>FOIA-FWS-2020-00724-0000449</t>
  </si>
  <si>
    <t>Sean.Matthews@oregonstate.edu Matthews, Sean Michael</t>
  </si>
  <si>
    <t>2018-1016_1119_[EXTERNAL]RE_Fisher breeding and reproduction manuscript_01.pdf</t>
  </si>
  <si>
    <t>Smith Facka  Powell ms Clarifying Fisher Bree.docx</t>
  </si>
  <si>
    <t>FOIA-FWS-2020-00724-0000451</t>
  </si>
  <si>
    <t>Abatzoglou and Williams 2016 climate change wildfire  western US forests.pdf</t>
  </si>
  <si>
    <t>FOIA-FWS-2020-00724-0000452</t>
  </si>
  <si>
    <t>Long etal 2018_Recent Trends in Large Hardwoods in Pacific Northwest.pdf</t>
  </si>
  <si>
    <t>FOIA-FWS-2020-00724-0000453</t>
  </si>
  <si>
    <t>Chatel, John C -FS</t>
  </si>
  <si>
    <t xml:space="preserve">RE: \[EXTERNAL\] FW: Pacific Coast Fisher is a Proposed Species </t>
  </si>
  <si>
    <t>FOIA-FWS-2020-00724-0000454</t>
  </si>
  <si>
    <t>Hollen, Bruce A</t>
  </si>
  <si>
    <t>RE: Fisher court opinion</t>
  </si>
  <si>
    <t>pacific-fisher-ruling.pdf</t>
  </si>
  <si>
    <t>FOIA-FWS-2020-00724-0000456</t>
  </si>
  <si>
    <t>Russell, Daniel</t>
  </si>
  <si>
    <t>Zablan, Marilet</t>
  </si>
  <si>
    <t>Re: PRIVILEGED - Draft Notice for Re-Opening Comment Period</t>
  </si>
  <si>
    <t>FOIA-FWS-2020-00724-0000457</t>
  </si>
  <si>
    <t>Fisher public notice KO COmments 20181024 DR with YFWO and R1 comments.pdf</t>
  </si>
  <si>
    <t>FOIA-FWS-2020-00724-0000458</t>
  </si>
  <si>
    <t>Finley, Laura; Glenne, Gina</t>
  </si>
  <si>
    <t>Fwd: Comments on notice</t>
  </si>
  <si>
    <t>Fisher public notice KO COmments 20181024 DR with YFWO and R1 comments.docx</t>
  </si>
  <si>
    <t>FOIA-FWS-2020-00724-0000460</t>
  </si>
  <si>
    <t>Finley, Laura</t>
  </si>
  <si>
    <t>Re: Comments on notice</t>
  </si>
  <si>
    <t>FOIA-FWS-2020-00724-0000461</t>
  </si>
  <si>
    <t xml:space="preserve">Re: Comments on notice </t>
  </si>
  <si>
    <t>FOIA-FWS-2020-00724-0000462</t>
  </si>
  <si>
    <t>FOIA-FWS-2020-00724-0000463</t>
  </si>
  <si>
    <t>RE: [EXTERNAL] FW: Pacific Coast Fisher is a Proposed Species</t>
  </si>
  <si>
    <t>FOIA-FWS-2020-00724-0000464</t>
  </si>
  <si>
    <t>Crowell, Heidi</t>
  </si>
  <si>
    <t>Craghead, Anissa; Cash, Marcia; Prigan, Sara; Wilkinson, Susan</t>
  </si>
  <si>
    <t>Request Expedited PPM review--Notice to Reopen a Comment Period</t>
  </si>
  <si>
    <t>20181025 Fisher public notice.docx</t>
  </si>
  <si>
    <t>20181025_Form 3-2198_Request for PPM Review.pdf</t>
  </si>
  <si>
    <t>FOIA-FWS-2020-00724-0000467</t>
  </si>
  <si>
    <t>Re: Fisher FR to reopen comment period</t>
  </si>
  <si>
    <t>FOIA-FWS-2020-00724-0000468</t>
  </si>
  <si>
    <t>Request expedited formal review/surname---Fisher Notice to reopen comment period</t>
  </si>
  <si>
    <t>Fisher DPS comment period reopening 10.25.18.docx</t>
  </si>
  <si>
    <t>FOIA-FWS-2020-00724-0000470</t>
  </si>
  <si>
    <t>2018-1030_1221_cannabis in CA_01.pdf</t>
  </si>
  <si>
    <t>Butsic+et+al_2018_Environ._Res._Lett._10.1088_.pdf</t>
  </si>
  <si>
    <t>FOIA-FWS-2020-00724-0000472</t>
  </si>
  <si>
    <t>Senn, Michael J; Ericson, Jenny</t>
  </si>
  <si>
    <t>Fwd: Revised Fisher Path Forward Paper</t>
  </si>
  <si>
    <t>Fisher Path Forward Discussion rev for Fris Senn.docx</t>
  </si>
  <si>
    <t>FOIA-FWS-2020-00724-0000474</t>
  </si>
  <si>
    <t>20181031_fisher_BP Reopen Comment Period2.pdf</t>
  </si>
  <si>
    <t>FOIA-FWS-2020-00724-0000475</t>
  </si>
  <si>
    <t>NWCC Fire History_Fire Occurrence 2000-2018.pdf  This dataset is no longer available online, although the data we downloaded is contained within our GIS files, see "2018 Recommendation Team Meeting.zip" elsewhere in our FOIA response.  The updated dataset is available here:  https://www.fs.usda.gov/rds/archive/catalog/RDS-2013-0009.5</t>
  </si>
  <si>
    <t>FOIA-FWS-2020-00724-0000476</t>
  </si>
  <si>
    <t>Grizzle, Betty</t>
  </si>
  <si>
    <t>Re: fisher decision record</t>
  </si>
  <si>
    <t>FOIA-FWS-2020-00724-0000477</t>
  </si>
  <si>
    <t>Quijada, Juanita</t>
  </si>
  <si>
    <t>FOIA-FWS-2020-00724-0000478</t>
  </si>
  <si>
    <t>Transmittal docs for HQ---fisher Re-open of comment period</t>
  </si>
  <si>
    <t>Wilkinson, Susan &lt;susan_wilkinson@fws.gov&gt;</t>
  </si>
  <si>
    <t>Daniel Russell &lt;daniel_russell@fws.gov&gt;, "Crowell, Heidi" &lt;heidi_crowell@fws.gov&gt;</t>
  </si>
  <si>
    <t>20181029_PPM review of Notice.pdf</t>
  </si>
  <si>
    <t>20181031_fisher_BP Reopen Comment Period.docx</t>
  </si>
  <si>
    <t>Fisher DPS comment period reopening 10.25.18_clean.docx</t>
  </si>
  <si>
    <t>FOIA-FWS-2020-00724-0000482</t>
  </si>
  <si>
    <t>fisher notice of public comment 20181030.doc-RSOL.pdf</t>
  </si>
  <si>
    <t>RO Surname Page.pdf</t>
  </si>
  <si>
    <t>FOIA-FWS-2020-00724-0000484</t>
  </si>
  <si>
    <t>Kit Hershey; Zwartjes, Michele; Marilet Zablan</t>
  </si>
  <si>
    <t>Fwd: Fisher</t>
  </si>
  <si>
    <t>FOIA-FWS-2020-00724-0000485</t>
  </si>
  <si>
    <t>Russell, Daniel; Crowell, Heidi</t>
  </si>
  <si>
    <t>Follow-up to phone call</t>
  </si>
  <si>
    <t>FOIA-FWS-2020-00724-0000486</t>
  </si>
  <si>
    <t>Russell, Daniel; Ericson, Jenny; Bierce, Pamela</t>
  </si>
  <si>
    <t>IMPORTANT---fisher Info Memo for Notice--request quick turn-around</t>
  </si>
  <si>
    <t>20181101_fisher_InfoMemo.docx</t>
  </si>
  <si>
    <t>FOIA-FWS-2020-00724-0000488</t>
  </si>
  <si>
    <t>Re: IMPORTANT---fisher Info Memo for Notice--request quick turn-around</t>
  </si>
  <si>
    <t>FOIA-FWS-2020-00724-0000490</t>
  </si>
  <si>
    <t>Bierce, Pamela</t>
  </si>
  <si>
    <t>20181101_fisher_InfoMemo pbedits.docx</t>
  </si>
  <si>
    <t>FOIA-FWS-2020-00724-0000492</t>
  </si>
  <si>
    <t>YFWO additions to the fisher Info Memo for Notice</t>
  </si>
  <si>
    <t>YFWO 20181101_fisher_InfoMemo (1).docx</t>
  </si>
  <si>
    <t>FOIA-FWS-2020-00724-0000494</t>
  </si>
  <si>
    <t>YFWO 20181101_fisher_InfoMemo sections III and IV.docx</t>
  </si>
  <si>
    <t>FOIA-FWS-2020-00724-0000496</t>
  </si>
  <si>
    <t>20181116_Info memo2 for PDAS.pdf</t>
  </si>
  <si>
    <t>FOIA-FWS-2020-00724-0000497</t>
  </si>
  <si>
    <t>20181102_fisher_InfoMemo.docx</t>
  </si>
  <si>
    <t>FOIA-FWS-2020-00724-0000498</t>
  </si>
  <si>
    <t>Sawyer, Susan</t>
  </si>
  <si>
    <t>Re: NOA fisher--reopen comment period</t>
  </si>
  <si>
    <t>FOIA-FWS-2020-00724-0000499</t>
  </si>
  <si>
    <t>Hershey, Kit; Livingston, Sue; Zablan, Marilet</t>
  </si>
  <si>
    <t>Quick Response Request - BP on Fisher DPS, reopen comment period</t>
  </si>
  <si>
    <t>FOIA-FWS-2020-00724-0000501</t>
  </si>
  <si>
    <t>20181101_fisher_InfoMemo pbedits DR_edits.docx</t>
  </si>
  <si>
    <t>FOIA-FWS-2020-00724-0000503</t>
  </si>
  <si>
    <t>FOIA-FWS-2020-00724-0000504</t>
  </si>
  <si>
    <t>FOIA-FWS-2020-00724-0000505</t>
  </si>
  <si>
    <t>Henson, Paul</t>
  </si>
  <si>
    <t>Crowell, Heidi; Russell, Daniel; Fris, Michael; Senn, Michael J</t>
  </si>
  <si>
    <t>Fwd: IMPORTANT---quick response requested---BP on fisher DPS ATTORNEY-CLIENT PRIVILEGED. The attachment is titled "20181102_fisher_InfoMemo.docx" which can be found elsewhere in this FOIA response.</t>
  </si>
  <si>
    <t>FOIA-FWS-2020-00724-0000506</t>
  </si>
  <si>
    <t>Ericson, Jenny; Kanim, Nadine</t>
  </si>
  <si>
    <t>BASIC Communications Strategy Form (1).docx</t>
  </si>
  <si>
    <t>FOIA-FWS-2020-00724-0000508</t>
  </si>
  <si>
    <t>Kanim, Nadine</t>
  </si>
  <si>
    <t>Fwd: NOA fisher--reopen comment period</t>
  </si>
  <si>
    <t>FOIA-FWS-2020-00724-0000510</t>
  </si>
  <si>
    <t>draft outreach plans: 2014 and 2016</t>
  </si>
  <si>
    <t>Final OP Fisher West Coast DPS Withdrawal .docx</t>
  </si>
  <si>
    <t>outreach.plan.8.7.14.docx</t>
  </si>
  <si>
    <t>FOIA-FWS-2020-00724-0000513</t>
  </si>
  <si>
    <t>FOIA-FWS-2020-00724-0000514</t>
  </si>
  <si>
    <t>2018 Fisher Communications Strategy.docx</t>
  </si>
  <si>
    <t>FOIA-FWS-2020-00724-0000516</t>
  </si>
  <si>
    <t>2018-1105_1400_Request for information from USFWS_02_Att1_image.pdf</t>
  </si>
  <si>
    <t>FOIA-FWS-2020-00724-0000517</t>
  </si>
  <si>
    <t>Re: IMPORTANT QUESTION---new rodenticide literature, did you buy this?  This book is available for viewing at the Yreka Fish and Wildlife Office. Relevant sections were included in the final listing rules references. See Rattner and Mastrota 2018 as well as Hindmarch and Elliot 2018 elsewhere in this FOIA response?</t>
  </si>
  <si>
    <t>FOIA-FWS-2020-00724-0000518</t>
  </si>
  <si>
    <t>Hogan, Bronwyn C</t>
  </si>
  <si>
    <t>Picco, Angela; Roessler, Arnold; McConnell, Ashley; Higgins, Damian; Cox, Dan; Balduini, Daniel; Blake, Daniel; Marquez, Daniel; Russell, Daniel; Welsh, Daniel; Giglio, Deborah; McBride, Ellen R.; FW8 Arcata ES Project Leaders; FW8 Carlsbad FWO Project Leaders; FW8 Klamath Falls ES Project Leaders; FW8 Las Vegas FWO Project Leaders; FW8 Reno FWO Project Leaders; FW8 RO ES ARD; FW8 Sacramento FWO Project Leaders; FW8 Ventura FWO Project Leaders; FW8 Yreka ES Project Leaders; Glenne, Gina; Crowell, Heidi; Hendron, Jane; Norris, Jennifer; Ericson, Jenny; Robles, John; Jensen, Karen A; Brubaker, Kathleen; Allen, Kaylee; Corey, Ken; Turner, Kim S; Grim, Mary; Baun, Matt; Stewart, Mendel; Fris, Michael; Senn, Michael J; Edwards, Mike ME; Erickson, Peter; West, Sabrina; Sobiech, Scott; Henry, Steve; Boring, Susan; Cooper, Susan E; Sawyer, Susan; Tharratt, Susie; Heitz, Tiffany; Davison, Veronica; Gerstenslager, Robyn B (Moved)</t>
  </si>
  <si>
    <t>Hot Topics due Weds Nov 7 at 3 p.m.</t>
  </si>
  <si>
    <t>2018-Nov-2_HOT TOPICS_to director.docx</t>
  </si>
  <si>
    <t>FOIA-FWS-2020-00724-0000520</t>
  </si>
  <si>
    <t>Long, Michael J</t>
  </si>
  <si>
    <t>Fwd: Hot Topics due Weds Nov 7 at 3 p.m.</t>
  </si>
  <si>
    <t>FOIA-FWS-2020-00724-0000521</t>
  </si>
  <si>
    <t>Keeley et al 2018_Historical patterns of wildfire ignition sources in California ecosystems.pdf</t>
  </si>
  <si>
    <t>FOIA-FWS-2020-00724-0000522</t>
  </si>
  <si>
    <t>2018-1108_1528_Re_GIS data_02_Att1_West_Coast_fisher_populations.pdf</t>
  </si>
  <si>
    <t>FOIA-FWS-2020-00724-0000523</t>
  </si>
  <si>
    <t>2018-1128_1327_Re_Urgent Request for Conferencing_02_Att1_Conservation Q.pdf</t>
  </si>
  <si>
    <t>FOIA-FWS-2020-00724-0000524</t>
  </si>
  <si>
    <t>ed_turner@fws.gov Turner, Ed</t>
  </si>
  <si>
    <t>betty_grizzle@fws.gov Betty Grizzle</t>
  </si>
  <si>
    <t>2018-1108_Fisher.pdf - The links in this email work.</t>
  </si>
  <si>
    <t>FOIA-FWS-2020-00724-0000525</t>
  </si>
  <si>
    <t>betty_grizzle@fws.gov Grizzle, Betty</t>
  </si>
  <si>
    <t>2018-1108_GIS data.pdf</t>
  </si>
  <si>
    <t>dblbnd.adf</t>
  </si>
  <si>
    <t>fisherhab.aux.xml</t>
  </si>
  <si>
    <t>hdr.adf</t>
  </si>
  <si>
    <t>metadata.xml</t>
  </si>
  <si>
    <t>prj.adf</t>
  </si>
  <si>
    <t>sta.adf</t>
  </si>
  <si>
    <t>vat.adf</t>
  </si>
  <si>
    <t>w001001.adf</t>
  </si>
  <si>
    <t>w001001x.adf</t>
  </si>
  <si>
    <t>FOIA-FWS-2020-00724-0000535</t>
  </si>
  <si>
    <t>2018-1108_More GIS data.pdf</t>
  </si>
  <si>
    <t>West_Coast_fisher_populations.dbf</t>
  </si>
  <si>
    <t>West_Coast_fisher_populations.prj</t>
  </si>
  <si>
    <t>West_Coast_fisher_populations.sbn</t>
  </si>
  <si>
    <t>West_Coast_fisher_populations.sbx</t>
  </si>
  <si>
    <t>West_Coast_fisher_populations.shp</t>
  </si>
  <si>
    <t>West_Coast_fisher_populations.shp.xml</t>
  </si>
  <si>
    <t>West_Coast_fisher_populations.shx</t>
  </si>
  <si>
    <t>FOIA-FWS-2020-00724-0000543</t>
  </si>
  <si>
    <t>2018-1108_Re_GIS data.pdf</t>
  </si>
  <si>
    <t>FOIA-FWS-2020-00724-0000544</t>
  </si>
  <si>
    <t>arc.dir</t>
  </si>
  <si>
    <t>arc0000.dat</t>
  </si>
  <si>
    <t>arc0000.nit</t>
  </si>
  <si>
    <t>arc0001.dat</t>
  </si>
  <si>
    <t>arc0001.nit</t>
  </si>
  <si>
    <t>arc0002.dat</t>
  </si>
  <si>
    <t>arc0002.nit</t>
  </si>
  <si>
    <t>fisherhab.lyr</t>
  </si>
  <si>
    <t>fisherhab.ovr</t>
  </si>
  <si>
    <t>FOIA-FWS-2020-00724-0000554</t>
  </si>
  <si>
    <t>2018-1108_Re_GIS data_01.pdf</t>
  </si>
  <si>
    <t>West_Coast_fisher_populations.pdf</t>
  </si>
  <si>
    <t>FOIA-FWS-2020-00724-0000556</t>
  </si>
  <si>
    <t>20181108_Email_Re: Question re AR and GIS files</t>
  </si>
  <si>
    <t>FOIA-FWS-2020-00724-0000557</t>
  </si>
  <si>
    <t>Bell, Gary W</t>
  </si>
  <si>
    <t>Radmer, Zachary, Carlson, Michael</t>
  </si>
  <si>
    <t>[EXTERNAL] RE: Looking for a shapefile</t>
  </si>
  <si>
    <t>FOIA-FWS-2020-00724-0000558</t>
  </si>
  <si>
    <t>20181114_Email_GIS shapefile</t>
  </si>
  <si>
    <t>FOIA-FWS-2020-00724-0000560</t>
  </si>
  <si>
    <t>20181114_Email_Re: GIS shapefile</t>
  </si>
  <si>
    <t>FOIA-FWS-2020-00724-0000561</t>
  </si>
  <si>
    <t>Glenne, Gina</t>
  </si>
  <si>
    <t>Finley, Laura; Russell, Daniel</t>
  </si>
  <si>
    <t>20181114_Event Invite</t>
  </si>
  <si>
    <t>gina_glenne@fws.gov</t>
  </si>
  <si>
    <t>gina_glenne@fws.gov;laura_finley@fws.gov;daniel_russell@fws.gov</t>
  </si>
  <si>
    <t>FOIA-FWS-2020-00724-0000563</t>
  </si>
  <si>
    <t>20181114_Email_RE: Fisher "stuff!"</t>
  </si>
  <si>
    <t>FOIA-FWS-2020-00724-0000564</t>
  </si>
  <si>
    <t>zachary_radmer@fws.gov Zachary Radmer</t>
  </si>
  <si>
    <t>2018-1114_Pdf - GIS shapefile_01.pdf</t>
  </si>
  <si>
    <t>FOIA-FWS-2020-00724-0000566</t>
  </si>
  <si>
    <t>laura_finley@fws.gov</t>
  </si>
  <si>
    <t>2018-1114_Re_GIS shapefile.pdf</t>
  </si>
  <si>
    <t>FOIA-FWS-2020-00724-0000567</t>
  </si>
  <si>
    <t>Notes from Anticoagulants Rodenticides and Wildlife</t>
  </si>
  <si>
    <t>FOIA-FWS-2020-00724-0000568</t>
  </si>
  <si>
    <t>Crowell, Heidi; Russell, Daniel</t>
  </si>
  <si>
    <t>20181114_Email_Summary notes from AR and wildlife book</t>
  </si>
  <si>
    <t>Notes from Anticoagulants Rodenticides and Wildlife.docx</t>
  </si>
  <si>
    <t>FOIA-FWS-2020-00724-0000570</t>
  </si>
  <si>
    <t>FW: Fisher "stuff!"</t>
  </si>
  <si>
    <t>FOIA-FWS-2020-00724-0000571</t>
  </si>
  <si>
    <t xml:space="preserve">2018-1114_[EXTERNAL] camp fire and fishers.pdf  The links in this email are no longer functional and therefore are not available. The links were all fire perimeter maps. The first link is to ArcGIS online, the second link was to inciweb, and the final link was to GISsurfer. </t>
  </si>
  <si>
    <t>FOIA-FWS-2020-00724-0000572</t>
  </si>
  <si>
    <t>2018-1114_Fwd_Pdf - GIS shapefile_01.pdf</t>
  </si>
  <si>
    <t>CFRP Annual Rep 21 mar 2018 final.pdf</t>
  </si>
  <si>
    <t>Final 2018 Fisher CCAA Annual Report_Washingto.pdf</t>
  </si>
  <si>
    <t>FOIA-FWS-2020-00724-0000575</t>
  </si>
  <si>
    <t>Re: FW: GIS shapefile</t>
  </si>
  <si>
    <t>FOIA-FWS-2020-00724-0000576</t>
  </si>
  <si>
    <t>Re_Pdf - GIS shapefile.pdf</t>
  </si>
  <si>
    <t>FOIA-FWS-2020-00724-0000577</t>
  </si>
  <si>
    <t>zachary_radmer@fws.gov Radmer, Zachary</t>
  </si>
  <si>
    <t>betty_grizzle@fws.gov</t>
  </si>
  <si>
    <t>Fisher2016_CCAA_EcoregionalBoundary.dbf</t>
  </si>
  <si>
    <t>Fisher2016_CCAA_EcoregionalBoundary.prj</t>
  </si>
  <si>
    <t>Fisher2016_CCAA_EcoregionalBoundary.sbn</t>
  </si>
  <si>
    <t>Fisher2016_CCAA_EcoregionalBoundary.sbx</t>
  </si>
  <si>
    <t>Fisher2016_CCAA_EcoregionalBoundary.shp</t>
  </si>
  <si>
    <t>Fisher2016_CCAA_EcoregionalBoundary.shp.xml</t>
  </si>
  <si>
    <t>Fisher2016_CCAA_EcoregionalBoundary.shx</t>
  </si>
  <si>
    <t>Fisher2016_CCAA_Zones_Boundary.dbf</t>
  </si>
  <si>
    <t>Fisher2016_CCAA_Zones_Boundary.prj</t>
  </si>
  <si>
    <t>Fisher2016_CCAA_Zones_Boundary.sbn</t>
  </si>
  <si>
    <t>Fisher2016_CCAA_Zones_Boundary.sbx</t>
  </si>
  <si>
    <t>Fisher2016_CCAA_Zones_Boundary.shp</t>
  </si>
  <si>
    <t>Fisher2016_CCAA_Zones_Boundary.shp.xml</t>
  </si>
  <si>
    <t>Fisher2016_CCAA_Zones_Boundary.shx</t>
  </si>
  <si>
    <t>ReadMe_FisherCCAABoundary.txt</t>
  </si>
  <si>
    <t>FOIA-FWS-2020-00724-0000593</t>
  </si>
  <si>
    <t>2018-1116_0830_Fwd_West Coast fisher populations Update 2018_03_Att3_West Coast fisher populations Update 2018 Meta.pdf</t>
  </si>
  <si>
    <t>FOIA-FWS-2020-00724-0000594</t>
  </si>
  <si>
    <t>2018-1116_0844_Re_[EXTERNAL]RE_Request for information from USFWS_04_Att11_West_Coast_fisher_populations_2018_Update.pdf</t>
  </si>
  <si>
    <t>FOIA-FWS-2020-00724-0000595</t>
  </si>
  <si>
    <t>2018-1203_1646_New Fisher Information from Washington_11_Att10_Fishers 21 &amp; 45 WADDL 2018-14306.pdf</t>
  </si>
  <si>
    <t>FOIA-FWS-2020-00724-0000596</t>
  </si>
  <si>
    <t>Gabriel 2018 pers comm.pdf</t>
  </si>
  <si>
    <t>FOIA-FWS-2020-00724-0000597</t>
  </si>
  <si>
    <t>Fisher Info Memo</t>
  </si>
  <si>
    <t>FOIA-FWS-2020-00724-0000599</t>
  </si>
  <si>
    <t>mgabriel@iercecology.org</t>
  </si>
  <si>
    <t>2018-1115_Two reports - from WA_01.pdf</t>
  </si>
  <si>
    <t>FOIA-FWS-2020-00724-0000602</t>
  </si>
  <si>
    <t>Re: Information about the Hoopa fisher work</t>
  </si>
  <si>
    <t>FOIA-FWS-2020-00724-0000603</t>
  </si>
  <si>
    <t>daniel_russell@fws.gov Russell, Daniel</t>
  </si>
  <si>
    <t>2018-1115_Re_Summary notes from AR &amp; wildlife book.pdf  The attachment is titled: "Notes from Anticoagulants Rodenticides and Wildlife" and is available elsewhere in this FOIA response.</t>
  </si>
  <si>
    <t>FOIA-FWS-2020-00724-0000604</t>
  </si>
  <si>
    <t>2018-1115_West Coast fisher populations Update 2018_01.pdf</t>
  </si>
  <si>
    <t>West Coast fisher populations Update 2018 Meta.pdf</t>
  </si>
  <si>
    <t>West_Coast_fisher_populations_2018_Update.pdf</t>
  </si>
  <si>
    <t>West_Coast_fisher_populations_Update_2018.dbf</t>
  </si>
  <si>
    <t>West_Coast_fisher_populations_Update_2018.prj</t>
  </si>
  <si>
    <t>West_Coast_fisher_populations_Update_2018.sbn</t>
  </si>
  <si>
    <t>West_Coast_fisher_populations_Update_2018.sbx</t>
  </si>
  <si>
    <t>West_Coast_fisher_populations_Update_2018.shp</t>
  </si>
  <si>
    <t>West_Coast_fisher_populations_Update_2018.shp.xml</t>
  </si>
  <si>
    <t>West_Coast_fisher_populations_Update_2018.shx</t>
  </si>
  <si>
    <t>FOIA-FWS-2020-00724-0000614</t>
  </si>
  <si>
    <t>laura_finley@fws.gov 'Laura Finley (Laura_Finley@fws.gov)' robert_carey@fws.gov 'robert_carey@fws.gov' david.green@oregonstate.edu Green, David S</t>
  </si>
  <si>
    <t>2018-1115_[EXTERNAL] Camp Fire and Stirling_01.pdf</t>
  </si>
  <si>
    <t>StirlingNI CampFireIR 20181115pdf.pdf</t>
  </si>
  <si>
    <t>FOIA-FWS-2020-00724-0000616</t>
  </si>
  <si>
    <t>2018-1116_0839_Updated fisher populations map_01.pdf</t>
  </si>
  <si>
    <t>FOIA-FWS-2020-00724-0000626</t>
  </si>
  <si>
    <t>tracifallen@fs.fed.us</t>
  </si>
  <si>
    <t>2018-1116_0844_Re_[EXTERNAL]RE_Request for information from USFWS_01.pdf</t>
  </si>
  <si>
    <t>(1)image005.png</t>
  </si>
  <si>
    <t>image005.png</t>
  </si>
  <si>
    <t>FOIA-FWS-2020-00724-0000637</t>
  </si>
  <si>
    <t>2018-1116_0947_Re_Next steps for me.pdf</t>
  </si>
  <si>
    <t>FOIA-FWS-2020-00724-0000638</t>
  </si>
  <si>
    <t>daniel_russell@fws.gov Russell, Daniel heidi_crowell@fws.gov Heidi Crowell</t>
  </si>
  <si>
    <t>2018-1116_1002_Notes from phone call with Dr. Gabriel_01.pdf</t>
  </si>
  <si>
    <t>20181115_Notes from phone call with Gabriel.pdf</t>
  </si>
  <si>
    <t>FOIA-FWS-2020-00724-0000640</t>
  </si>
  <si>
    <t>FW: [EXTERNAL] Camp Fire and Stirling</t>
  </si>
  <si>
    <t>FOIA-FWS-2020-00724-0000642</t>
  </si>
  <si>
    <t>Request for help from Sue Livingston</t>
  </si>
  <si>
    <t>FOIA-FWS-2020-00724-0000643</t>
  </si>
  <si>
    <t>Russell, Daniel; West, Sabrina</t>
  </si>
  <si>
    <t>New PDAS Briefing Paper---fisher Re-open of comment period</t>
  </si>
  <si>
    <t>20181116_Info memo for PDAS.docx</t>
  </si>
  <si>
    <t>Info memo for PDAS (template) (eff 9-24-18).docx</t>
  </si>
  <si>
    <t>FOIA-FWS-2020-00724-0000646</t>
  </si>
  <si>
    <t>Carlson, Michael</t>
  </si>
  <si>
    <t>Gary.Bell@dfw.wa.gov</t>
  </si>
  <si>
    <t>Re: [EXTERNAL] RE: Looking for a shapefile</t>
  </si>
  <si>
    <t>FOIA-FWS-2020-00724-0000647</t>
  </si>
  <si>
    <t>Re: GIS shapefile</t>
  </si>
  <si>
    <t>FOIA-FWS-2020-00724-0000648</t>
  </si>
  <si>
    <t>Re: FW: West Coast fisher populations Update 2018</t>
  </si>
  <si>
    <t>FOIA-FWS-2020-00724-0000649</t>
  </si>
  <si>
    <t>2018-1117_1109_[EXTERNAL]Re_Updated fisher populations map.pdf</t>
  </si>
  <si>
    <t>FOIA-FWS-2020-00724-0000650</t>
  </si>
  <si>
    <t>CalFire_Fire17_1.pdf</t>
  </si>
  <si>
    <t>FOIA-FWS-2020-00724-0000651</t>
  </si>
  <si>
    <t>2018-1119_1619_Fisher and fire_02_Att1_Fisher fire history.pdf</t>
  </si>
  <si>
    <t>FOIA-FWS-2020-00724-0000652</t>
  </si>
  <si>
    <t>2018-1119_1619_Fisher and fire_01.pdf</t>
  </si>
  <si>
    <t>Fisher fire history.docx</t>
  </si>
  <si>
    <t>FOIA-FWS-2020-00724-0000654</t>
  </si>
  <si>
    <t>2018-1120_1243_Adjusting our NSO habitat baseline due to wildfires in northern CA_02_Att1_BaselineResetOverview.pdf</t>
  </si>
  <si>
    <t>FOIA-FWS-2020-00724-0000655</t>
  </si>
  <si>
    <t>Fwd: Fisher and fire</t>
  </si>
  <si>
    <t>FOIA-FWS-2020-00724-0000657</t>
  </si>
  <si>
    <t>Grizzle, Betty; Russell, Daniel</t>
  </si>
  <si>
    <t>Adjusting our NSO habitat baseline due to wildfires in northern CA</t>
  </si>
  <si>
    <t>BaselineResetOverview.docx</t>
  </si>
  <si>
    <t>FOIA-FWS-2020-00724-0000659</t>
  </si>
  <si>
    <t>Thompson, Brad</t>
  </si>
  <si>
    <t>Radmer, Zachary</t>
  </si>
  <si>
    <t>Fwd: December 18 Fisher Meeting</t>
  </si>
  <si>
    <t>FOIA-FWS-2020-00724-0000660</t>
  </si>
  <si>
    <t>Long, Michael J; Russell, Daniel; Crowell, Heidi; Ericson, Jenny; Moynan, Kathleen; Gilbert, Parks; Livingston, Sue; Grizzle, Betty; Galst, Carey; Zwartjes, Michele; Goldfarb, Joan R; Senn, Michael J</t>
  </si>
  <si>
    <t>Fisher - Judge's Order in response to motion to alter</t>
  </si>
  <si>
    <t>Fisher Order Granting in part motion to alter 20181120.pdf</t>
  </si>
  <si>
    <t>FOIA-FWS-2020-00724-0000662</t>
  </si>
  <si>
    <t>Laura Finley (via Google Drive)</t>
  </si>
  <si>
    <t>Toxicant info for Betty - Invitation to collaborate  The documents in this folder are titled: â€œ2017 Final Report for USFWS Agreement Fl 6AP00732â€, â€œAugust update - Marijuana Risk Modeling Project_Finalâ€, â€œAutomated Remote Grow ldentification-1pager_Final (3)â€, â€œCCLT_Frontiers6.1.2017_finalâ€, â€œExpo sure_to_rodenticides_in_Northern_Spotted_and_Bâ€, â€œIERC_Project6_infoâ€, â€œGabriel Tox Fertâ€, â€œGabriel_OWL 2_2017â€, â€œMarijuana Production in Forest Environments- Brief reviewâ€, â€œMarijuana Production in Forest Environments- Brief reviewâ€, and â€œMax Ent R6â€ and can be found elsewhere in this FOIA response.</t>
  </si>
  <si>
    <t>FOIA-FWS-2020-00724-0000663</t>
  </si>
  <si>
    <t>bradd_bridges@fws.gov Bridges, Bradd</t>
  </si>
  <si>
    <t>2018-1121_1002_Fwd_ Meeting this week.pdf</t>
  </si>
  <si>
    <t>FOIA-FWS-2020-00724-0000664</t>
  </si>
  <si>
    <t>betty_grizzle@fws.gov Betty Grizzle bradd_bridges@fws.gov Bradd Bridges</t>
  </si>
  <si>
    <t>2018-1121_1132_Fire years count and info that will help with severity selection of data_01.pdf</t>
  </si>
  <si>
    <t>MTBS_Fires_CA_OR_WA_BurnSeverity_Search.xlsx</t>
  </si>
  <si>
    <t>FOIA-FWS-2020-00724-0000666</t>
  </si>
  <si>
    <t>2018-1121_1213_Re_Fire years count and info that will help with severity selection of data.pdf</t>
  </si>
  <si>
    <t>FOIA-FWS-2020-00724-0000667</t>
  </si>
  <si>
    <t>McDowell, Tom</t>
  </si>
  <si>
    <t>Re: 6-month extension for remanded fisher decision  The attached document titled "Fisher Order Granting in part motion to alter 20181120" is available elsewhere in our FOIA response.</t>
  </si>
  <si>
    <t>FOIA-FWS-2020-00724-0000668</t>
  </si>
  <si>
    <t>Fisher DPS comment period reopening 11232018_electronic to OFR.pdf</t>
  </si>
  <si>
    <t>FOIA-FWS-2020-00724-0000669</t>
  </si>
  <si>
    <t>2018-1123_1442_Burn Map Fisher_02_Att1_Fires.pdf</t>
  </si>
  <si>
    <t>FOIA-FWS-2020-00724-0000670</t>
  </si>
  <si>
    <t>2018-1123_1748_Re_Burn Map Fisher_02_Att1_Fire_Burn _Severity_OR_87.pdf</t>
  </si>
  <si>
    <t>FOIA-FWS-2020-00724-0000671</t>
  </si>
  <si>
    <t>Mourad Gabriel; Sean Matthews; Green, David S - ONID; Facka, Aaron; Roger Powell; Dave Clayton; Tucker, Jody M -FS; Schroer, Greg L -FS; kpurcell@fs.fed.us; Moriarty, Katie -FS (kmoriarty02@fs.fed.us); Happe, Patricia J; Jeff Lewis; Bill Zielinski</t>
  </si>
  <si>
    <t>ORDER GRANTING IN PART MOTION TO ALTER OR AMEND JUDGMENT AND VACATING HEARING for fisher Case 3:16-cv-06040-WHA</t>
  </si>
  <si>
    <t>Fisher Order Granting in part motion to alter 20181120 (1).pdf</t>
  </si>
  <si>
    <t>FOIA-FWS-2020-00724-0000673</t>
  </si>
  <si>
    <t>Notes re fisher proposed rules</t>
  </si>
  <si>
    <t>Some notes and recommendations.pdf</t>
  </si>
  <si>
    <t>FOIA-FWS-2020-00724-0000675</t>
  </si>
  <si>
    <t>2018-1123_1442_Burn Map Fisher_01.pdf</t>
  </si>
  <si>
    <t>Fires.pdf</t>
  </si>
  <si>
    <t>FOIA-FWS-2020-00724-0000677</t>
  </si>
  <si>
    <t>Fire map - attached</t>
  </si>
  <si>
    <t>FOIA-FWS-2020-00724-0000679</t>
  </si>
  <si>
    <t>2018-1123_1623_Re_Burn Map Fisher_01.pdf</t>
  </si>
  <si>
    <t>5yr_Range_Fire_Values.xlsx</t>
  </si>
  <si>
    <t>FOIA-FWS-2020-00724-0000681</t>
  </si>
  <si>
    <t>2018-1123_1748_Re_Burn Map Fisher_01.pdf</t>
  </si>
  <si>
    <t>Fire_Burn _Severity_OR_87.pdf</t>
  </si>
  <si>
    <t>FOIA-FWS-2020-00724-0000683</t>
  </si>
  <si>
    <t>2018-1126_1027_Fire threat analyses - example from Calif spotted owl report_02_Att1_Wildfire analyses from California Spotted Owl.pdf</t>
  </si>
  <si>
    <t>FOIA-FWS-2020-00724-0000684</t>
  </si>
  <si>
    <t>heidi_crowell@fws.gov Crowell, Heidi</t>
  </si>
  <si>
    <t>2018-1126_0943_Fwd_[EXTERNAL]RE_Information on burned area in Oregon and Washington.pdf  The links in this email chain still work. The .png files are junk and not relevant.</t>
  </si>
  <si>
    <t>FOIA-FWS-2020-00724-0000685</t>
  </si>
  <si>
    <t>2018-1126_1027_Fire threat analyses - example from Calif spotted owl report_01.pdf</t>
  </si>
  <si>
    <t>Wildfire analyses from California Spotted Owl.docx</t>
  </si>
  <si>
    <t>FOIA-FWS-2020-00724-0000687</t>
  </si>
  <si>
    <t xml:space="preserve">Recent and/or ongoing fisher studies </t>
  </si>
  <si>
    <t>FOIA-FWS-2020-00724-0000688</t>
  </si>
  <si>
    <t>Kuyper, Richard</t>
  </si>
  <si>
    <t>Vogel, Ian M; Kirby, Rebecca; Eyes, Stephanie A; Seymour, Jill-Marie</t>
  </si>
  <si>
    <t xml:space="preserve">Re: \[EXTERNAL\] Fwd: Order on fisher motion to amend judgment </t>
  </si>
  <si>
    <t>91 Order Granting in Part Motion to Alter or Amend Judgment.pdf</t>
  </si>
  <si>
    <t>FOIA-FWS-2020-00724-0000690</t>
  </si>
  <si>
    <t>Qs for States.pdf</t>
  </si>
  <si>
    <t>FOIA-FWS-2020-00724-0000691</t>
  </si>
  <si>
    <t>FOIA-FWS-2020-00724-0000692</t>
  </si>
  <si>
    <t>Gabriel_OWL 2_2017.pdf</t>
  </si>
  <si>
    <t>FOIA-FWS-2020-00724-0000693</t>
  </si>
  <si>
    <t xml:space="preserve">Draft - list of questions </t>
  </si>
  <si>
    <t>FOIA-FWS-2020-00724-0000694</t>
  </si>
  <si>
    <t>IERC_Project6 info.pdf</t>
  </si>
  <si>
    <t>FOIA-FWS-2020-00724-0000695</t>
  </si>
  <si>
    <t>Max Ent R6.docx</t>
  </si>
  <si>
    <t>FOIA-FWS-2020-00724-0000696</t>
  </si>
  <si>
    <t>Finley, Laura; Glenne, Gina; Carey, Robert L; Reilly, Michelle L</t>
  </si>
  <si>
    <t>Fwd: \[EXTERNAL\] Fwd: Order on fisher motion to amend judgment</t>
  </si>
  <si>
    <t>FOIA-FWS-2020-00724-0000698</t>
  </si>
  <si>
    <t>20181128_Draft Agenda.pdf</t>
  </si>
  <si>
    <t>Not Responsive - No need for Privilege Call;</t>
  </si>
  <si>
    <t>FOIA-FWS-2020-00724-0000699</t>
  </si>
  <si>
    <t>2018-1128_1628_CA Fire Threat_03_Att2_CaklFire_Threat.pdf</t>
  </si>
  <si>
    <t>FOIA-FWS-2020-00724-0000700</t>
  </si>
  <si>
    <t>2018-1128_1645_Need to Update the Fire Threat Tables and table in map_02_Att1_Fire Threat work for the Fisher Population areas of California.pdf</t>
  </si>
  <si>
    <t>FOIA-FWS-2020-00724-0000701</t>
  </si>
  <si>
    <t>Schmidt, Gregory</t>
  </si>
  <si>
    <t>Re: Current federal legal status of the fisher DPS</t>
  </si>
  <si>
    <t>FOIA-FWS-2020-00724-0000702</t>
  </si>
  <si>
    <t>Crowell, Heidi; Finley, Laura; Grizzle, Betty; Radmer, Zachary; Livingston, Sue</t>
  </si>
  <si>
    <t>Invitation: Fisher info needs discussion @ Fri Nov 30, 2018 8:30am - 9:30am (PST) (zachary_radmer@fws.gov)</t>
  </si>
  <si>
    <t>daniel_russell@fws.gov</t>
  </si>
  <si>
    <t>heidi_crowell@fws.gov;daniel_russell@fws.gov;laura_finley@fws.gov;betty_grizzle@fws.gov;zachary_radmer@fws.gov;sue_livingston@fws.gov</t>
  </si>
  <si>
    <t>FOIA-FWS-2020-00724-0000704</t>
  </si>
  <si>
    <t>Radmer, Zachary; Crowell, Heidi; Grizzle, Betty; Finley, Laura; Livingston, Sue</t>
  </si>
  <si>
    <t>Invitation: Fisher info needs discussion @ Fri Nov 30, 2018 8:30am - 9:30am (PST) (laura_finley@fws.gov)</t>
  </si>
  <si>
    <t>zachary_radmer@fws.gov;heidi_crowell@fws.gov;betty_grizzle@fws.gov;daniel_russell@fws.gov;laura_finley@fws.gov;sue_livingston@fws.gov</t>
  </si>
  <si>
    <t>FOIA-FWS-2020-00724-0000706</t>
  </si>
  <si>
    <t>daniel_russell@fws.gov Daniel Russell</t>
  </si>
  <si>
    <t>betty_grizzle@fws.gov zachary_radmer@fws.gov laura_finley@fws.gov heidi_crowell@fws.gov sue_livingston@fws.gov</t>
  </si>
  <si>
    <t>2018-1128_1312_Fisher info needs discussion.pdf</t>
  </si>
  <si>
    <t>zachary_radmer@fws.gov;laura_finley@fws.gov;heidi_crowell@fws.gov;daniel_russell@fws.gov;sue_livingston@fws.gov;betty_grizzle@fws.gov</t>
  </si>
  <si>
    <t>FOIA-FWS-2020-00724-0000708</t>
  </si>
  <si>
    <t>heidi_crowell@fws.gov Heidi Crowell betty_grizzle@fws.gov Grizzle, Betty laura_finley@fws.gov Laura Finley sue_livingston@fws.gov Sue Livingston zachary_radmer@fws.gov Zachary Radmer richard_kuyper@fws.gov Richard Kuyper stephanie_eyes@fws.gov Stephanie Eyes</t>
  </si>
  <si>
    <t>2018-1128_1327_Re_Urgent Request for Conferencing_01.pdf</t>
  </si>
  <si>
    <t>Conservation Q.docx</t>
  </si>
  <si>
    <t>Qs for States.docx</t>
  </si>
  <si>
    <t>FOIA-FWS-2020-00724-0000711</t>
  </si>
  <si>
    <t>2018-1128_1628_CA Fire Threat_01.pdf</t>
  </si>
  <si>
    <t>CA_WestCoast_Fisher_Pop.xlsx</t>
  </si>
  <si>
    <t>CaklFire_Threat.xlsx</t>
  </si>
  <si>
    <t>CalFire_Threat_Map.pdf</t>
  </si>
  <si>
    <t>Fire_Threat_Map.xlsx</t>
  </si>
  <si>
    <t>FOIA-FWS-2020-00724-0000716</t>
  </si>
  <si>
    <t>2018-1128_1645_Need to Update the Fire Threat Tables and table in map_01.pdf</t>
  </si>
  <si>
    <t>Fire Threat work for the Fisher Population ar.docx</t>
  </si>
  <si>
    <t>FOIA-FWS-2020-00724-0000718</t>
  </si>
  <si>
    <t>Re: meeting tomorrow</t>
  </si>
  <si>
    <t>Population information.docx</t>
  </si>
  <si>
    <t>FOIA-FWS-2020-00724-0000720</t>
  </si>
  <si>
    <t>Ericson, Jenny; Finley, Laura</t>
  </si>
  <si>
    <t>FW: fyi, FIsher Notice is in Gary's inbox</t>
  </si>
  <si>
    <t>FOIA-FWS-2020-00724-0000721</t>
  </si>
  <si>
    <t>2018-1129_1513_Fire Threat_01.pdf</t>
  </si>
  <si>
    <t>CalFire_Threat.xlsx</t>
  </si>
  <si>
    <t>FOIA-FWS-2020-00724-0000726</t>
  </si>
  <si>
    <t>Michael Long; Daniel Russell; Angela Picco</t>
  </si>
  <si>
    <t>Fisher Briefing Agenda</t>
  </si>
  <si>
    <t>20181129_Agenda.docx</t>
  </si>
  <si>
    <t>FOIA-FWS-2020-00724-0000728</t>
  </si>
  <si>
    <t>Lewis pers comm. 2018. new info since April 2016.pdf</t>
  </si>
  <si>
    <t>FOIA-FWS-2020-00724-0000729</t>
  </si>
  <si>
    <t>2018-1130_1054_Re_Oregon High Intensity Drug Trafficking Agency_02_Att1_image.pdf</t>
  </si>
  <si>
    <t>FOIA-FWS-2020-00724-0000730</t>
  </si>
  <si>
    <t>Fwd: Adjusting our NSO habitat baseline due to wildfires in northern CA</t>
  </si>
  <si>
    <t>FOIA-FWS-2020-00724-0000732</t>
  </si>
  <si>
    <t>sue_livingston@fws.gov Sue Livingston</t>
  </si>
  <si>
    <t>2018-1130_1038_Oregon High Intensity Drug Trafficking Agency.pdf</t>
  </si>
  <si>
    <t>FOIA-FWS-2020-00724-0000733</t>
  </si>
  <si>
    <t>sue_livingston@fws.gov</t>
  </si>
  <si>
    <t>2018-1130_1054_Re_Oregon High Intensity Drug Trafficking Agency_01.pdf</t>
  </si>
  <si>
    <t>image.png</t>
  </si>
  <si>
    <t>FOIA-FWS-2020-00724-0000735</t>
  </si>
  <si>
    <t>Scott.Osborn@wildlife.ca.gov Esther.Burkett@wildlife.ca.gov Daniel.Applebee@wildlife.ca.gov</t>
  </si>
  <si>
    <t>2018-1130_1100_Re_[EXTERNAL]RE_Info request for Pacific fisher.pdf</t>
  </si>
  <si>
    <t>FOIA-FWS-2020-00724-0000736</t>
  </si>
  <si>
    <t>Eyes, Stephanie A</t>
  </si>
  <si>
    <t>Re: Urgent Request for Conferencing</t>
  </si>
  <si>
    <t>MeetingDiscussion_FisherInformationGaps_20181130.docx</t>
  </si>
  <si>
    <t>FOIA-FWS-2020-00724-0000738</t>
  </si>
  <si>
    <t>stephanie_eyes@fws.gov Eyes, Stephanie</t>
  </si>
  <si>
    <t>2018-1130_1206_Re_Follow-up re request for info re fisher_exposure to toxicants.pdf</t>
  </si>
  <si>
    <t>FOIA-FWS-2020-00724-0000739</t>
  </si>
  <si>
    <t>2018-1130_1324_Potential stressor GIS data for OR and WA_01.pdf</t>
  </si>
  <si>
    <t>Kerns et al 2016_US exposure to multiple lands.pdf</t>
  </si>
  <si>
    <t>FOIA-FWS-2020-00724-0000741</t>
  </si>
  <si>
    <t>2018-1130_1448_Re_follow up question.pdf</t>
  </si>
  <si>
    <t>FOIA-FWS-2020-00724-0000742</t>
  </si>
  <si>
    <t>FOIA-FWS-2020-00724-0000744</t>
  </si>
  <si>
    <t>2018-1130_1820_Burn Severity Stuff_01.pdf</t>
  </si>
  <si>
    <t>Burn_Sev_1987.xlsx</t>
  </si>
  <si>
    <t>FOIA-FWS-2020-00724-0000746</t>
  </si>
  <si>
    <t>GDRC 2018 Forest HCP on the CA Timberlands of Green Diamond Resource Company.pdf</t>
  </si>
  <si>
    <t>FOIA-FWS-2020-00724-0000747</t>
  </si>
  <si>
    <t>Qs for States_ODFW.pdf</t>
  </si>
  <si>
    <t>FOIA-FWS-2020-00724-0000748</t>
  </si>
  <si>
    <t>Halofsky etal_Climate and Fire in the PNW 2018-1203_1059_FW_[EXTERNAL] Manuscript_02_Att1_</t>
  </si>
  <si>
    <t>FOIA-FWS-2020-00724-0000749</t>
  </si>
  <si>
    <t>2018-1203_1059_FW_[EXTERNAL] Manuscript_03_Att2_Halofsky etal_response to reviews.pdf</t>
  </si>
  <si>
    <t>FOIA-FWS-2020-00724-0000750</t>
  </si>
  <si>
    <t>2018-1203_1306_Re_Interpretation document_02_Att1_Interpreting population growth rates_HC.pdf</t>
  </si>
  <si>
    <t>FOIA-FWS-2020-00724-0000751</t>
  </si>
  <si>
    <t>2018-1203_0718_Re_Burn Severity Stuff.pdf</t>
  </si>
  <si>
    <t>FOIA-FWS-2020-00724-0000752</t>
  </si>
  <si>
    <t>Population discussion</t>
  </si>
  <si>
    <t>Population Abudance Trends Information and Small Population Size Discussion.docx</t>
  </si>
  <si>
    <t>FOIA-FWS-2020-00724-0000754</t>
  </si>
  <si>
    <t>2018-1203_1054_Re_Potential stressor GIS data for OR and WA.pdf</t>
  </si>
  <si>
    <t>FOIA-FWS-2020-00724-0000755</t>
  </si>
  <si>
    <t>2018-1203_1059_fire and climate change reports_01.pdf</t>
  </si>
  <si>
    <t>20181009_Coastal_Marten_SSA_v2.0.pdf</t>
  </si>
  <si>
    <t>Buotte_et_al-2018-Global_Change_Biology.pdf</t>
  </si>
  <si>
    <t>Dalton_etal_2017_Oregon_climate_assmnt.pdf</t>
  </si>
  <si>
    <t>FOIA-FWS-2020-00724-0000759</t>
  </si>
  <si>
    <t>2018-1203_1059_FW_[EXTERNAL] Manuscript_01.pdf</t>
  </si>
  <si>
    <t>Halofsky et al._Climate and Fire in the PNW_In.pdf</t>
  </si>
  <si>
    <t>Halofsky et al._response to reviews.docx</t>
  </si>
  <si>
    <t>FOIA-FWS-2020-00724-0000762</t>
  </si>
  <si>
    <t>2018-1203_1123_Re_Population discussion.pdf</t>
  </si>
  <si>
    <t>FOIA-FWS-2020-00724-0000763</t>
  </si>
  <si>
    <t>phone call today</t>
  </si>
  <si>
    <t>FOIA-FWS-2020-00724-0000765</t>
  </si>
  <si>
    <t>2018-1203_1300_phone call today_01.pdf</t>
  </si>
  <si>
    <t>MeetingDiscussion_FisherInformationGaps_20181.docx</t>
  </si>
  <si>
    <t>FOIA-FWS-2020-00724-0000767</t>
  </si>
  <si>
    <t>2018-1203_1306_Re_Interpretation document_01.pdf  The original attachment is no longer available.</t>
  </si>
  <si>
    <t>Interpreting population growth rates_HC.docx</t>
  </si>
  <si>
    <t>FOIA-FWS-2020-00724-0000769</t>
  </si>
  <si>
    <t>Derek Broman</t>
  </si>
  <si>
    <t xml:space="preserve">fisher information </t>
  </si>
  <si>
    <t>Qs for States_ODFW.docx</t>
  </si>
  <si>
    <t>FOIA-FWS-2020-00724-0000771</t>
  </si>
  <si>
    <t>stephanie_eyes@fws.gov Stephanie Eyes</t>
  </si>
  <si>
    <t>2018-1203_1453_Martes Symposium-abstracts extracted from program_01.pdf</t>
  </si>
  <si>
    <t>Martes Symposium July 2018_Selected abstracts .pdf</t>
  </si>
  <si>
    <t>FOIA-FWS-2020-00724-0000773</t>
  </si>
  <si>
    <t xml:space="preserve">Martes Symposium - abstracts extracted from program </t>
  </si>
  <si>
    <t>Martes Symposium July 2018_Selected abstracts re Pacific fisher.pdf</t>
  </si>
  <si>
    <t>FOIA-FWS-2020-00724-0000775</t>
  </si>
  <si>
    <t xml:space="preserve">Re: Martes Symposium - abstracts extracted from program </t>
  </si>
  <si>
    <t>FOIA-FWS-2020-00724-0000776</t>
  </si>
  <si>
    <t>2018-1203_1514_Re_Martes Symposium-abstracts extracted from program.pdf</t>
  </si>
  <si>
    <t>FOIA-FWS-2020-00724-0000777</t>
  </si>
  <si>
    <t>Re: phone call today</t>
  </si>
  <si>
    <t>FOIA-FWS-2020-00724-0000778</t>
  </si>
  <si>
    <t xml:space="preserve">fisher </t>
  </si>
  <si>
    <t>FOIA-FWS-2020-00724-0000779</t>
  </si>
  <si>
    <t>betty_grizzle@fws.gov Betty Grizzle daniel_russell@fws.gov Daniel Russell</t>
  </si>
  <si>
    <t>2018-1203_1646_New Fisher Information from Washington_01.pdf</t>
  </si>
  <si>
    <t>CFRP_NecropsyReport_F002_CASE edits.docx</t>
  </si>
  <si>
    <t>CFRP_NecropsyReport_F047_CASE edits.docx</t>
  </si>
  <si>
    <t>CFRP_NecropsyReport_F051_CASE edits TC.docx</t>
  </si>
  <si>
    <t>CFRP_NecropsyReport_F051_CASE edits.docx</t>
  </si>
  <si>
    <t>CFRP_NecropsyReport_F052_CASE edits.docx</t>
  </si>
  <si>
    <t>CFRP_NecropsyReport_F065_CASE edits.docx</t>
  </si>
  <si>
    <t>CFRP_NecropsyReport_F086_CASE edits.docx</t>
  </si>
  <si>
    <t>Fishers 21 &amp; 45 WADDL 2018-14306.pdf</t>
  </si>
  <si>
    <t>Lewis et al 2016 fisher hab selection on OP FE.pdf</t>
  </si>
  <si>
    <t>Lewis pers comm. 2018. new info since April 2.docx</t>
  </si>
  <si>
    <t>OLYM_Fisher_2016_ProgressReport_20170927_fagan.pdf</t>
  </si>
  <si>
    <t>Parsons_Thesis_Final.pdf</t>
  </si>
  <si>
    <t>FOIA-FWS-2020-00724-0000792</t>
  </si>
  <si>
    <t>Re: Burn Severity Stuff</t>
  </si>
  <si>
    <t>FOIA-FWS-2020-00724-0000794</t>
  </si>
  <si>
    <t>2018-1210_0047_Info for review prior to upcoming DPS fisher meeting--12-18-2018_10_Att9_Map--pL Rule &amp; withdrawal Range Map.pdf</t>
  </si>
  <si>
    <t>FOIA-FWS-2020-00724-0000795</t>
  </si>
  <si>
    <t>West_Coast_fisher_populations_updated.pdf</t>
  </si>
  <si>
    <t>Fisher population map</t>
  </si>
  <si>
    <t>FOIA-FWS-2020-00724-0000797</t>
  </si>
  <si>
    <t>2018-1204_0915_Re_Fisher population map.pdf</t>
  </si>
  <si>
    <t>FOIA-FWS-2020-00724-0000798</t>
  </si>
  <si>
    <t>2018-1204_1021_RE_fire and climate change reports.pdf</t>
  </si>
  <si>
    <t>FOIA-FWS-2020-00724-0000799</t>
  </si>
  <si>
    <t>Turner, Ed</t>
  </si>
  <si>
    <t xml:space="preserve">Fisher Yreka notes </t>
  </si>
  <si>
    <t>FOIA-FWS-2020-00724-0000800</t>
  </si>
  <si>
    <t xml:space="preserve">Fisher working group meeting at TWS in Fish Camp Feb 2019 </t>
  </si>
  <si>
    <t>FOIA-FWS-2020-00724-0000801</t>
  </si>
  <si>
    <t>Tucker, Jody M -FS</t>
  </si>
  <si>
    <t xml:space="preserve">Request for updated information on fisher population </t>
  </si>
  <si>
    <t>FOIA-FWS-2020-00724-0000803</t>
  </si>
  <si>
    <t>heidi_crowell@fws.gov Heidi Crowell betty_grizzle@fws.gov Betty Grizzle</t>
  </si>
  <si>
    <t>2018-1204_1629_Updated Fisher Population Map_01.pdf</t>
  </si>
  <si>
    <t>FOIA-FWS-2020-00724-0000805</t>
  </si>
  <si>
    <t>2018-1204_1630_Fwd_follow up to fisher call.pdf</t>
  </si>
  <si>
    <t>FOIA-FWS-2020-00724-0000806</t>
  </si>
  <si>
    <t>September 19 2017_SSNFWG Meeting Notes.docx</t>
  </si>
  <si>
    <t>Crowell, Heidi; Grizzle, Betty</t>
  </si>
  <si>
    <t>Notes from September 19, 2018 Southern Sierra Nevada Fisher Working Group Meeting</t>
  </si>
  <si>
    <t>FOIA-FWS-2020-00724-0000808</t>
  </si>
  <si>
    <t>heidi_crowell@fws.gov betty_grizzle@fws.gov Betty Grizzle</t>
  </si>
  <si>
    <t>2018-1204_1809_Notes from September 19, 2018 SSNFWG Meeting_01.pdf</t>
  </si>
  <si>
    <t>FOIA-FWS-2020-00724-0000810</t>
  </si>
  <si>
    <t>jennifer.kordosky@dfw.wa.gov</t>
  </si>
  <si>
    <t>Request for updated information on fisher populations</t>
  </si>
  <si>
    <t>FisherListingCourtProceedings_80 Order on Cross-MSJs 9-21-18.pdf</t>
  </si>
  <si>
    <t>FOIA-FWS-2020-00724-0000813</t>
  </si>
  <si>
    <t>20181205_1719_Carey_Klamath River Basin Ecological Connectivity and Fire Risk.pdf</t>
  </si>
  <si>
    <t xml:space="preserve">Klamath River Basin Ecological Connectivity a.pptx
</t>
  </si>
  <si>
    <t>FOIA-FWS-2020-00724-0000815</t>
  </si>
  <si>
    <t>Carey, Robert L</t>
  </si>
  <si>
    <t>Connectivity ppt_ Fire?</t>
  </si>
  <si>
    <t>Klamath River Basin Ecological Connectivity and Fire Risk.pptx</t>
  </si>
  <si>
    <t>FOIA-FWS-2020-00724-0000817</t>
  </si>
  <si>
    <t>Thompson, Craig -FS</t>
  </si>
  <si>
    <t>[EXTERNAL] fisher presentations</t>
  </si>
  <si>
    <t>Martes symp.pdf</t>
  </si>
  <si>
    <t>RTW_Thompson and Gabriel.pdf</t>
  </si>
  <si>
    <t>WO briefing_C Thompson.pdf</t>
  </si>
  <si>
    <t>FOIA-FWS-2020-00724-0000821</t>
  </si>
  <si>
    <t>laura_finley@fws.gov Laura Finley (via Google Drive)</t>
  </si>
  <si>
    <t>betty_grizzle@fws.gov Betty_Grizzle@fws.gov</t>
  </si>
  <si>
    <t>2018-1206_1018_Klamath River Basin Ecological Connectivity and Fire Risk_pptx.pdf For a copy of this presentation, see email from the day before from Bob Carey to Laura Finley.</t>
  </si>
  <si>
    <t>FOIA-FWS-2020-00724-0000822</t>
  </si>
  <si>
    <t>Re: Notes from September 19, 2018 Southern Sierra Nevada Fisher Working Group Meeting</t>
  </si>
  <si>
    <t>FOIA-FWS-2020-00724-0000823</t>
  </si>
  <si>
    <t>2018-1206_1147_Burn Severity 2016_01.pdf</t>
  </si>
  <si>
    <t>Burn_Sev_2016.xlsx</t>
  </si>
  <si>
    <t>FOIA-FWS-2020-00724-0000825</t>
  </si>
  <si>
    <t>Roger Powell</t>
  </si>
  <si>
    <t>Re: [EXTERNAL] Re: ORDER GRANTING IN PART MOTION TO ALTER OR AMEND JUDGMENT AND VACATING HEARING for fisher Case 3:16-cv-06040-WHA</t>
  </si>
  <si>
    <t>FOIA-FWS-2020-00724-0000826</t>
  </si>
  <si>
    <t>Re: fisher new information timeline</t>
  </si>
  <si>
    <t>FOIA-FWS-2020-00724-0000827</t>
  </si>
  <si>
    <t>Re: Request for updated information on fisher populations</t>
  </si>
  <si>
    <t>FOIA-FWS-2020-00724-0000828</t>
  </si>
  <si>
    <t>Burn Severity 2015</t>
  </si>
  <si>
    <t>Burn_Sev_2015.xlsx</t>
  </si>
  <si>
    <t>FOIA-FWS-2020-00724-0000830</t>
  </si>
  <si>
    <t>Handout--RTM 20181218.pdf</t>
  </si>
  <si>
    <t>FOIA-FWS-2020-00724-0000831</t>
  </si>
  <si>
    <t>Copy of Wildland Fire Handout for RTM.pdf</t>
  </si>
  <si>
    <t>FOIA-FWS-2020-00724-0000832</t>
  </si>
  <si>
    <t>2018-1210_0047_Info for review prior to upcoming DPS fisher meeting--12-18-2018_05_Att4_Handout--PopAbundanceTrendsInfo &amp; SmPopSize.pdf</t>
  </si>
  <si>
    <t>FOIA-FWS-2020-00724-0000833</t>
  </si>
  <si>
    <t>Craig Thompson</t>
  </si>
  <si>
    <t>FOIA-FWS-2020-00724-0000834</t>
  </si>
  <si>
    <t>kpurcell@fs.fed.us</t>
  </si>
  <si>
    <t>Eyes, Stephanie A; Rebecca Green</t>
  </si>
  <si>
    <t>RE: status of fisher funding?</t>
  </si>
  <si>
    <t>Green et al. 2018 Repro parameters of the fisher JMamm.pdf</t>
  </si>
  <si>
    <t>FOIA-FWS-2020-00724-0000836</t>
  </si>
  <si>
    <t>RE: Request for updated information on fisher population</t>
  </si>
  <si>
    <t>FOIA-FWS-2020-00724-0000837</t>
  </si>
  <si>
    <t>FOIA-FWS-2020-00724-0000838</t>
  </si>
  <si>
    <t>More Burn Severity 2014</t>
  </si>
  <si>
    <t>Burn_Sev_2014.xlsx</t>
  </si>
  <si>
    <t>FOIA-FWS-2020-00724-0000840</t>
  </si>
  <si>
    <t>Burn Severity 1994</t>
  </si>
  <si>
    <t>Burn_Sev_1994.xlsx</t>
  </si>
  <si>
    <t>FOIA-FWS-2020-00724-0000842</t>
  </si>
  <si>
    <t>Evans, April; Crowell, Heidi</t>
  </si>
  <si>
    <t>Re: Updated invitation: RTM - Westcoast DPS of Fisher - Final Determination @ Tue Dec 18, 2018 12:30pm - 5pm (PST) (daniel_russell@fws.gov)</t>
  </si>
  <si>
    <t>FOIA-FWS-2020-00724-0000843</t>
  </si>
  <si>
    <t>Souza, Paul; Holzworth, Jody K; Fris, Michael; Senn, Michael J; Long, Michael J; Russell, Daniel; Picco, Angela; Grizzle, Betty; Blake, Daniel; Norris, Jennifer; Ericson, Jenny; Thrailkill, Jim; Garner, Kim; Henson, Paul; Livingston, Sue; Thompson, Brad; Everson, Dan; Eric Rickerson; Dillon, Jeffrey; Finley, Laura; McDowell, Tom; Willy, Elizabeth; Radmer, Zachary; Glenne, Gina</t>
  </si>
  <si>
    <t>Info for review prior to upcoming DPS fisher meeting--12/18/2018</t>
  </si>
  <si>
    <t>20181127_RSOL Memo_Order.pdf</t>
  </si>
  <si>
    <t>Briefing Table.pdf</t>
  </si>
  <si>
    <t>Handout--AR.pdf</t>
  </si>
  <si>
    <t>Handout--Interpreting population growth rates.pdf</t>
  </si>
  <si>
    <t>Handout--PopAbundanceTrendsInfo &amp; SmPopSize.pdf</t>
  </si>
  <si>
    <t>Handout--Wildland Fire.pdf</t>
  </si>
  <si>
    <t>Map--pL Rule &amp; withdrawal Range Map.pdf</t>
  </si>
  <si>
    <t>Map--West_Coast_fisher_populations_occupied areas.pdf</t>
  </si>
  <si>
    <t>FOIA-FWS-2020-00724-0000853</t>
  </si>
  <si>
    <t>heidi_crowell@fws.gov Heidi Crowell</t>
  </si>
  <si>
    <t>Re: Additional years for burn severity analyses  The attachment is no longer available.</t>
  </si>
  <si>
    <t>FOIA-FWS-2020-00724-0000854</t>
  </si>
  <si>
    <t>Re: Burn Severity charts.pdf</t>
  </si>
  <si>
    <t>FOIA-FWS-2020-00724-0000855</t>
  </si>
  <si>
    <t>Kathleen Brubaker</t>
  </si>
  <si>
    <t>Re: Fisher call/mtg next week?</t>
  </si>
  <si>
    <t>FOIA-FWS-2020-00724-0000856</t>
  </si>
  <si>
    <t>cthompson05@fs.fed.us</t>
  </si>
  <si>
    <t>Re: fisher presentations</t>
  </si>
  <si>
    <t>FOIA-FWS-2020-00724-0000857</t>
  </si>
  <si>
    <t>Re: question about a book to review for ecological effects of marijuana gardens. The link in this email still works.</t>
  </si>
  <si>
    <t>FOIA-FWS-2020-00724-0000858</t>
  </si>
  <si>
    <t>2018-1211_1546_Burn Severity Charts_01.pdf</t>
  </si>
  <si>
    <t>Burn_Sev_5yrs.xlsx</t>
  </si>
  <si>
    <t>FOIA-FWS-2020-00724-0000860</t>
  </si>
  <si>
    <t>Draft template for PowerPoint</t>
  </si>
  <si>
    <t>West Coast DPS of Fisher - Briefing.pptx</t>
  </si>
  <si>
    <t>FOIA-FWS-2020-00724-0000862</t>
  </si>
  <si>
    <t>PowerPoint (draft, so far)</t>
  </si>
  <si>
    <t>FOIA-FWS-2020-00724-0000864</t>
  </si>
  <si>
    <t>Re: [EXTERNAL] fisher presentations</t>
  </si>
  <si>
    <t>FOIA-FWS-2020-00724-0000865</t>
  </si>
  <si>
    <t>2018-1212_1615_More Burn Serv number for 2012_01.pdf</t>
  </si>
  <si>
    <t>Burn_Sev_2012.xlsx</t>
  </si>
  <si>
    <t>FOIA-FWS-2020-00724-0000867</t>
  </si>
  <si>
    <t>2018-1212_1801_Burn Serv 2003_01.pdf</t>
  </si>
  <si>
    <t>Burn_Sev_2003.xlsx</t>
  </si>
  <si>
    <t>FOIA-FWS-2020-00724-0000869</t>
  </si>
  <si>
    <t>2018-1212_1901_BurnSv 2011_01.pdf</t>
  </si>
  <si>
    <t>Burn_Sev_2011.xlsx</t>
  </si>
  <si>
    <t>FOIA-FWS-2020-00724-0000871</t>
  </si>
  <si>
    <t>Re: PowerPoint (draft, so far)</t>
  </si>
  <si>
    <t>FOIA-FWS-2020-00724-0000872</t>
  </si>
  <si>
    <t>FOIA-FWS-2020-00724-0000873</t>
  </si>
  <si>
    <t>Marilet Zablan</t>
  </si>
  <si>
    <t>Long, Michael</t>
  </si>
  <si>
    <t>Re: Acting FS in Lacey?</t>
  </si>
  <si>
    <t>FOIA-FWS-2020-00724-0000874</t>
  </si>
  <si>
    <t xml:space="preserve">PPT for fisher meeting 12/18/2019  </t>
  </si>
  <si>
    <t>West Coast DPS of Fisher_Briefing.pptx</t>
  </si>
  <si>
    <t>FOIA-FWS-2020-00724-0000876</t>
  </si>
  <si>
    <t>Invitation: Fisher RTM pre-chat @ Mon Dec 17, 2018 10:30am - 11:30am (PST) (gina_glenne@fws.gov)</t>
  </si>
  <si>
    <t>jenny_ericson@fws.gov</t>
  </si>
  <si>
    <t>gina_glenne@fws.gov;jenny_ericson@fws.gov;laura_finley@fws.gov</t>
  </si>
  <si>
    <t>Fisher RTM pre-chat</t>
  </si>
  <si>
    <t>FOIA-FWS-2020-00724-0000878</t>
  </si>
  <si>
    <t>White, Rollie</t>
  </si>
  <si>
    <t>Re: Update on Fisher Briefing on December 18</t>
  </si>
  <si>
    <t>FOIA-FWS-2020-00724-0000879</t>
  </si>
  <si>
    <t>Norris, Jennifer</t>
  </si>
  <si>
    <t xml:space="preserve">Fwd: Info for review prior to upcoming DPS fisher meeting--12/18/2018  The 2014 proposed rule is titled: FWS-R8_ES-2014-0041-001_content" and the 2016 final rule is titled" 
 FWS-R8-ES-2014-0041-0472_content" and both can be found elsewhere in this FOIA response. </t>
  </si>
  <si>
    <t>FOIA-FWS-2020-00724-0000889</t>
  </si>
  <si>
    <t>Crowell, Heidi; Grizzle, Betty; Finley, Laura</t>
  </si>
  <si>
    <t>Update on contact for fisher biologist Richard Sweitzer</t>
  </si>
  <si>
    <t>FOIA-FWS-2020-00724-0000890</t>
  </si>
  <si>
    <t>heidi_crowell@fws.gov Heidi Crowell betty_grizzle@fws.gov Betty Grizzle laura_finley@fws.gov Laura Finley</t>
  </si>
  <si>
    <t>2018-1214_1644_Update on contact for fisher biologist Richard Sweitzer.pdf</t>
  </si>
  <si>
    <t>FOIA-FWS-2020-00724-0000891</t>
  </si>
  <si>
    <t>Re: question about a book to review for ecological effects of marijuana gardens</t>
  </si>
  <si>
    <t>FOIA-FWS-2020-00724-0000892</t>
  </si>
  <si>
    <t>Fish Lit</t>
  </si>
  <si>
    <t>Berner et al 2017_Tree mortality article.pdf</t>
  </si>
  <si>
    <t>DOJ Presss Release Aug 2018 Operation Forest Watch.pdf</t>
  </si>
  <si>
    <t>Elliott et al 2013 Exposure pathways ARs nontarget wildlife.pdf</t>
  </si>
  <si>
    <t>Franklin et al 2018.pdf</t>
  </si>
  <si>
    <t>FOIA-FWS-2020-00724-0000898</t>
  </si>
  <si>
    <t>Fish Lit #2</t>
  </si>
  <si>
    <t>Blomdahl 2018 MS Thesis_Interactions Fire Severity_Central Sierra NV_effects on fisher den habitat.pdf</t>
  </si>
  <si>
    <t>FOIA-FWS-2020-00724-0000900</t>
  </si>
  <si>
    <t>Fish Lit #3</t>
  </si>
  <si>
    <t>Hart et al 2018 Analysis of burned area re pine beetle outbreaks.pdf</t>
  </si>
  <si>
    <t>Hicke et al 2016 Tree mortallity from insects and wildfire.pdf</t>
  </si>
  <si>
    <t>Jones_et_al-2016-Megafires_old growth species_CASPO.pdf</t>
  </si>
  <si>
    <t>Kerns et al 2016_US exposure to multiple landscape stressors.pdf</t>
  </si>
  <si>
    <t>Meigs et al 2016.pdf</t>
  </si>
  <si>
    <t>Nelson et al 2010 Uncertainty in population growth rates.pdf</t>
  </si>
  <si>
    <t>Stephens et al 2018 Fire Tree Mortality.pdf</t>
  </si>
  <si>
    <t>FOIA-FWS-2020-00724-0000909</t>
  </si>
  <si>
    <t>Gregory Schmidt</t>
  </si>
  <si>
    <t>Fisher Population ACTION NEEDED</t>
  </si>
  <si>
    <t>Furnas_et_al-2017-Ecosphere (1).pdf</t>
  </si>
  <si>
    <t>FOIA-FWS-2020-00724-0000911</t>
  </si>
  <si>
    <t>20181218_Fisher Briefing Notes.pdf</t>
  </si>
  <si>
    <t>FOIA-FWS-2020-00724-0000912</t>
  </si>
  <si>
    <t>Threats Handout_Template--VEG-MGMT.pdf</t>
  </si>
  <si>
    <t>FOIA-FWS-2020-00724-0000913</t>
  </si>
  <si>
    <t>West Coast DPS of Fisher_Briefing.pdf</t>
  </si>
  <si>
    <t>FOIA-FWS-2020-00724-0000914</t>
  </si>
  <si>
    <t>2018 Recommendation Team Meeting.zip</t>
  </si>
  <si>
    <t>FOIA-FWS-2020-00724-0000915</t>
  </si>
  <si>
    <t>FOIA-FWS-2020-00724-0000916</t>
  </si>
  <si>
    <t>Re: prepping for call this afternoon--looking for Primack 2014</t>
  </si>
  <si>
    <t>FOIA-FWS-2020-00724-0000917</t>
  </si>
  <si>
    <t>Powerpoint from final determination meeting</t>
  </si>
  <si>
    <t>Powerpoint from final determination meeting.pdf</t>
  </si>
  <si>
    <t>FOIA-FWS-2020-00724-0000919</t>
  </si>
  <si>
    <t>Not Responsive - No need for Category</t>
  </si>
  <si>
    <t>michael_fris@fws.gov</t>
  </si>
  <si>
    <t>michael_long@fws.gov; jim_thrailkill@fws.gov; paul_henson@fws.gov; betty_grizzle@fws.gov; laura_finley@fws.gov; heidi_crowell@fws.gov; jennifer_norris@fws.gov; dan_everson@fws.gov; rollie_white@fws.gov; eric_rickerson@fws.gov; daniel_russell@fws.gov; jenny_ericson@fws.gov; daniel_blake@fws.gov; sue_livingston@fws.gov; michael_senn@fws.gov; april_evans@fws.gov; paul_souza@fws.gov; kit_hershey@fws.gov; kerry.o'hara@sol.doi.gov; kathy_hollar@fws.gov; jody_holzworth@fws.gov; brad_thompson@fws.gov; tom_mcdowell@fws.gov; kim_garner@fws.gov; jeffrey_dillon@fws.gov</t>
  </si>
  <si>
    <t>Updated invitation: RTM - Westcoast DPS of Fisher - Final Determination @ Tue Dec 18, 2018 12:30pm - 5pm (PST) (eric_rickerson@fws.gov)</t>
  </si>
  <si>
    <t>kathleen_moynan@fws.gov;michael_long@fws.gov;michele_zwartjes@fws.gov;jim_thrailkill@fws.gov;michael_fris@fws.gov;gina_glenne@fws.gov;paul_henson@fws.gov;kathleen_brubaker@fws.gov;betty_grizzle@fws.gov;laura_finley@fws.gov;heidi_crowell@fws.gov;jennifer_norris@fws.gov;zachary_radmer@fws.gov;dan_everson@fws.gov;nadine_kanim@fws.gov;wanda_cantrell@fws.gov;rollie_white@fws.gov;eric_rickerson@fws.gov;daniel_russell@fws.gov;jenny_ericson@fws.gov;elizabeth_willy@fws.gov;daniel_blake@fws.gov;sue_livingston@fws.gov;michael_senn@fws.gov;april_evans@fws.gov;paul_souza@fws.gov;kit_hershey@fws.gov;rose_reed@fws.gov;sherry_byers@fws.gov;deborah_riley@fws.gov;kerry.o'hara@sol.doi.gov;kathy_hollar@fws.gov;jody_holzworth@fws.gov;brad_thompson@fws.gov;tom_mcdowell@fws.gov;kim_garner@fws.gov;jeffrey_dillon@fws.gov</t>
  </si>
  <si>
    <t>FOIA-FWS-2020-00724-0000921</t>
  </si>
  <si>
    <t>2018-1218_1351_More Burn Severity_01.pdf</t>
  </si>
  <si>
    <t>Burn_Sev_2001.xlsx</t>
  </si>
  <si>
    <t>Burn_Sev_2006.xlsx</t>
  </si>
  <si>
    <t>FOIA-FWS-2020-00724-0000924</t>
  </si>
  <si>
    <t>Norris, Jennifer L</t>
  </si>
  <si>
    <t>Are you on Fisher call?</t>
  </si>
  <si>
    <t>FOIA-FWS-2020-00724-0000925</t>
  </si>
  <si>
    <t>More Burn Severity</t>
  </si>
  <si>
    <t>Burn_Sev_2008.xlsx</t>
  </si>
  <si>
    <t>FOIA-FWS-2020-00724-0000927</t>
  </si>
  <si>
    <t>2018_1219_[EXTERNAL] RE: copy of Sugar Pine/SNAMP final report?</t>
  </si>
  <si>
    <t>SUGAR PINE FISHER PROJECT FINAL REPORT_final_26 June 2018.pdf</t>
  </si>
  <si>
    <t>FOIA-FWS-2020-00724-0000929</t>
  </si>
  <si>
    <t>betty_grizzle@fws.gov Betty Grizzle heidi_crowell@fws.gov Crowell, Heidi</t>
  </si>
  <si>
    <t>2018-1219_Thank you.pdf</t>
  </si>
  <si>
    <t>FOIA-FWS-2020-00724-0000930</t>
  </si>
  <si>
    <t>2018_1219_notes from fisher meeting</t>
  </si>
  <si>
    <t>20181218_Fisher Briefing Notes.docx</t>
  </si>
  <si>
    <t>FOIA-FWS-2020-00724-0000932</t>
  </si>
  <si>
    <t>FWS-R8-ES-2018-0105-0056_Att6.pdf</t>
  </si>
  <si>
    <t>FOIA-FWS-2020-00724-0000933</t>
  </si>
  <si>
    <t>Process Paper-Interim NSO Baseline Adjustment-2007-2018-With Appendix A Tables.pdf</t>
  </si>
  <si>
    <t>FOIA-FWS-2020-00724-0000934</t>
  </si>
  <si>
    <t>Re: Thank you</t>
  </si>
  <si>
    <t>FOIA-FWS-2020-00724-0000935</t>
  </si>
  <si>
    <t>Re More Burn Severity</t>
  </si>
  <si>
    <t>FOIA-FWS-2020-00724-0000936</t>
  </si>
  <si>
    <t>Re: potential opportunity to have Fisher Working Groups review latest FWS science compilation at TWS meeting in Feb 2019</t>
  </si>
  <si>
    <t>FOIA-FWS-2020-00724-0000937</t>
  </si>
  <si>
    <t>Notices_Approved_12-20-2018.rtf</t>
  </si>
  <si>
    <t>Regulatory_Documents_Approved_12-20-2018.rtf</t>
  </si>
  <si>
    <t>Wilkinson, Susan</t>
  </si>
  <si>
    <t>Crowell, Heidi; Quamme, Sarah; Forbus, Beth; Snyder, Caitlin; Ashley Stilson</t>
  </si>
  <si>
    <t>Fwd: Federal Register Approvals from 12/13/2018 through 12/20/2018</t>
  </si>
  <si>
    <t>FOIA-FWS-2020-00724-0000940</t>
  </si>
  <si>
    <t>Senn, Michael J</t>
  </si>
  <si>
    <t>Bierce, Pamela; Snow, Meghan K; Ericson, Jenny; Glenne, Gina</t>
  </si>
  <si>
    <t>FW: Federal Register Approvals from 12/13/2018 through 12/20/2018</t>
  </si>
  <si>
    <t>FOIA-FWS-2020-00724-0000943</t>
  </si>
  <si>
    <t>Senn, Michael J; Heil, John C; Long, Michael J; Ericson, Jenny</t>
  </si>
  <si>
    <t>Fwd: FW: Federal Register Approvals from 12/13/2018 through 12/20/2018</t>
  </si>
  <si>
    <t>Untitled attachment 00003.htm</t>
  </si>
  <si>
    <t>FOIA-FWS-2020-00724-0000947</t>
  </si>
  <si>
    <t>FOIA-FWS-2020-00724-0000948</t>
  </si>
  <si>
    <t>Re: Federal Register Approvals from 12/13/2018 through 12/20/2018</t>
  </si>
  <si>
    <t>FOIA-FWS-2020-00724-0000949</t>
  </si>
  <si>
    <t>Galloway, Shaughn L</t>
  </si>
  <si>
    <t>Map NCSO CA Fire</t>
  </si>
  <si>
    <t>AllFires.jpg</t>
  </si>
  <si>
    <t>FOIA-FWS-2020-00724-0000951</t>
  </si>
  <si>
    <t>Burn Severity</t>
  </si>
  <si>
    <t>Burn_Sev_1999.xlsx</t>
  </si>
  <si>
    <t>Burn_Sev_2002.xlsx</t>
  </si>
  <si>
    <t>Burn_Sev_2005.xlsx</t>
  </si>
  <si>
    <t>Burn_Sev_2009.xlsx</t>
  </si>
  <si>
    <t>Burn_Sev_2010.xlsx</t>
  </si>
  <si>
    <t>Burn_Sev_2013.xlsx</t>
  </si>
  <si>
    <t>FOIA-FWS-2020-00724-0000959</t>
  </si>
  <si>
    <t>Fwd: \[EXTERNAL\] RE: Request for information from USFWS</t>
  </si>
  <si>
    <t>FOIA-FWS-2020-00724-0000960</t>
  </si>
  <si>
    <t>Excel table - High burn severity for fisher population areas</t>
  </si>
  <si>
    <t>FOIA-FWS-2020-00724-0000961</t>
  </si>
  <si>
    <t>Re: Excel table - High burn severity for fisher population areas</t>
  </si>
  <si>
    <t>FOIA-FWS-2020-00724-0000962</t>
  </si>
  <si>
    <t>FRdocSchedule.pdf</t>
  </si>
  <si>
    <t>FOIA-FWS-2020-00724-0000963</t>
  </si>
  <si>
    <t>AnalysisSchedule.pdf</t>
  </si>
  <si>
    <t>FOIA-FWS-2020-00724-0000964</t>
  </si>
  <si>
    <t>Condensed-Significant Comments Received.pdf</t>
  </si>
  <si>
    <t>FOIA-FWS-2020-00724-0000965</t>
  </si>
  <si>
    <t>Biology-Threats-Regs.pdf</t>
  </si>
  <si>
    <t>FOIA-FWS-2020-00724-0000966</t>
  </si>
  <si>
    <t>Green etal 2019a Forest fires have a short-term negative effect on the forest-dependent.pdf</t>
  </si>
  <si>
    <t>FOIA-FWS-2020-00724-0000967</t>
  </si>
  <si>
    <t>AA--FRdocDraftText.pdf</t>
  </si>
  <si>
    <t>FOIA-FWS-2020-00724-0000968</t>
  </si>
  <si>
    <t>AA-TABLE.pdf</t>
  </si>
  <si>
    <t>FOIA-FWS-2020-00724-0000969</t>
  </si>
  <si>
    <t>Kordosky 2019.pdf</t>
  </si>
  <si>
    <t>FOIA-FWS-2020-00724-0000970</t>
  </si>
  <si>
    <t>Fettig et al 2019.pdf</t>
  </si>
  <si>
    <t>FOIA-FWS-2020-00724-0000971</t>
  </si>
  <si>
    <t>Klassen and Anthony 2019.pdf</t>
  </si>
  <si>
    <t>FOIA-FWS-2020-00724-0000972</t>
  </si>
  <si>
    <t>Service 2019b Unpublished data and analysis related to population.pdf</t>
  </si>
  <si>
    <t>FOIA-FWS-2020-00724-0000973</t>
  </si>
  <si>
    <t>Thompson etal 2019a DRAFT Fisher use of post-fire landscapes.pdf</t>
  </si>
  <si>
    <t>FOIA-FWS-2020-00724-0000974</t>
  </si>
  <si>
    <t>Greta Wengert</t>
  </si>
  <si>
    <t>Re: Where There's Smoke: The Environmental Science, Public Policy, and Politics of Marijuana by Char Miller (Editor), Jared Huffman</t>
  </si>
  <si>
    <t>Chapter 2 final edits GMW.pdf</t>
  </si>
  <si>
    <t>FOIA-FWS-2020-00724-0000976</t>
  </si>
  <si>
    <t>CBI 2019c marten fisher fire modeling Klamath_basin.pdf</t>
  </si>
  <si>
    <t>FOIA-FWS-2020-00724-0000977</t>
  </si>
  <si>
    <t>FWS-R8-ES-2018-0105-0144.pdf</t>
  </si>
  <si>
    <t>FOIA-FWS-2020-00724-0000978</t>
  </si>
  <si>
    <t>Servis, Jennifer A</t>
  </si>
  <si>
    <t>FWHQ FR Pub List; Russell, Daniel; Crowell, Heidi</t>
  </si>
  <si>
    <t>DELIVERED TO OFR: Reopening of Comment Period on the Proposed Rule to List the West Coast DPS of Fisher</t>
  </si>
  <si>
    <t>FOIA-FWS-2020-00724-0000979</t>
  </si>
  <si>
    <t>Craghead, Anissa</t>
  </si>
  <si>
    <t>Fwd: \[EXTERNAL\] FR 2018-28408_1885595 (4).docx</t>
  </si>
  <si>
    <t>FR 2018-28408_1885595 (4).docx</t>
  </si>
  <si>
    <t>FOIA-FWS-2020-00724-0000981</t>
  </si>
  <si>
    <t>Bierce, Pamela; Ericson, Jenny</t>
  </si>
  <si>
    <t>Fwd: FISHER--SCHEDULED: Document Number - 2018-28408</t>
  </si>
  <si>
    <t>FOIA-FWS-2020-00724-0000982</t>
  </si>
  <si>
    <t>Prigan, Sara</t>
  </si>
  <si>
    <t>Re: SCHEDULED TO PUBLISH: Reopening of Comment Period on the Proposed Rule to List the West Coast DPS of Fisher</t>
  </si>
  <si>
    <t>Table of Effective Dates-2019-01-02.pdf</t>
  </si>
  <si>
    <t>FOIA-FWS-2020-00724-0000984</t>
  </si>
  <si>
    <t>Summary Info from Dec 2018 meeting</t>
  </si>
  <si>
    <t>FOIA-FWS-2020-00724-0000992</t>
  </si>
  <si>
    <t>Russell, Daniel; Long, Michael J</t>
  </si>
  <si>
    <t>Tasks for Fisher</t>
  </si>
  <si>
    <t>FOIA-FWS-2020-00724-0000993</t>
  </si>
  <si>
    <t>20190130_Meeting Notes_RO discussion path forward</t>
  </si>
  <si>
    <t>FOIA-FWS-2020-00724-0000994</t>
  </si>
  <si>
    <t>Eubank, Brittney - FS</t>
  </si>
  <si>
    <t>sean.matthews@oregonstate.edu; David Seth Green; Finley, Laura</t>
  </si>
  <si>
    <t>2019_0130_[EXTERNAL] EKSA OSU Species ID Report 2018</t>
  </si>
  <si>
    <t>EKSA_OSU_Species ID Report_2018.docx</t>
  </si>
  <si>
    <t>FOIA-FWS-2020-00724-0000996</t>
  </si>
  <si>
    <t>Patty Grantham; Kristen -FS Sexton; Russell, Scott A -FS; Terri -FS SimonJackson</t>
  </si>
  <si>
    <t>Fisher - Opening of Public Comment Period for Proposed Rule</t>
  </si>
  <si>
    <t>FINAL 2019 nws rls DPS Pacific fisher reopen public comment pL.pdf</t>
  </si>
  <si>
    <t>FOIA-FWS-2020-00724-0000998</t>
  </si>
  <si>
    <t>Worsley, Roger; Zedonis, Paul A; Brick, David A; Grimes, Russell W; Cordova, Daniel A</t>
  </si>
  <si>
    <t>FOIA-FWS-2020-00724-0001000</t>
  </si>
  <si>
    <t>Adkins, Richard D</t>
  </si>
  <si>
    <t>Pacific Fisher Proposed Listing - Opportunity to Comment</t>
  </si>
  <si>
    <t>2019_0130_NR DPS Pacific fisher reopen public comment pL.pdf</t>
  </si>
  <si>
    <t>FOIA-FWS-2020-00724-0001002</t>
  </si>
  <si>
    <t>Mata, Jennifer L</t>
  </si>
  <si>
    <t>FOIA-FWS-2020-00724-0001004</t>
  </si>
  <si>
    <t>Fisher - Opening of Public Comment Period for Proposed Rule  See https://www.regulations.gov/document/FWS-R8-ES-2018-0105-0001 for the regulations.gov linke. The news release is here: https://www.fws.gov/news/ShowNews.cfm?ref=service-seeks-additional-public-input-on-proposed-listing-of-pacific-&amp;_ID=36356</t>
  </si>
  <si>
    <t>FOIA-FWS-2020-00724-0001006</t>
  </si>
  <si>
    <t>Hawkins, Robert@Wildlife</t>
  </si>
  <si>
    <t>FOIA-FWS-2020-00724-0001008</t>
  </si>
  <si>
    <t>Jordan, Christine J</t>
  </si>
  <si>
    <t>Re: Fisher - Opening of Public Comment Period for Proposed Rule</t>
  </si>
  <si>
    <t>FOIA-FWS-2020-00724-0001009</t>
  </si>
  <si>
    <t>Weatherbee, Russell A</t>
  </si>
  <si>
    <t>FOIA-FWS-2020-00724-0001010</t>
  </si>
  <si>
    <t>Re: Outreach docs-West Coast DPS of fisher  See https://www.regulations.gov/document/FWS-R8-ES-2018-0105-0001 for the regulations.gov linke. The news release is here: https://www.fws.gov/news/ShowNews.cfm?ref=service-seeks-additional-public-input-on-proposed-listing-of-pacific-&amp;_ID=36356</t>
  </si>
  <si>
    <t>FOIA-FWS-2020-00724-0001011</t>
  </si>
  <si>
    <t>Ericson, Jenny; Sawyer, Susan; Super, Trevor</t>
  </si>
  <si>
    <t>Fisher Tribal Outreach and a request</t>
  </si>
  <si>
    <t>FOIA-FWS-2020-00724-0001012</t>
  </si>
  <si>
    <t>RE: Outreach docs-West Coast DPS of fisher</t>
  </si>
  <si>
    <t>FOIA-FWS-2020-00724-0001013</t>
  </si>
  <si>
    <t>Re: Park Superintendent for Whiskeytown National Recreation Area (NPS)</t>
  </si>
  <si>
    <t>FOIA-FWS-2020-00724-0001014</t>
  </si>
  <si>
    <t>Hoines, Josh D</t>
  </si>
  <si>
    <t>FOIA-FWS-2020-00724-0001015</t>
  </si>
  <si>
    <t>alicia.flores@lakecountyca.gov</t>
  </si>
  <si>
    <t>Fwd: Fisher - Opening of Public Comment Period for Proposed Rule</t>
  </si>
  <si>
    <t>FOIA-FWS-2020-00724-0001016</t>
  </si>
  <si>
    <t>20190131_84FR644_Notice.pdf</t>
  </si>
  <si>
    <t>FOIA-FWS-2020-00724-0001017</t>
  </si>
  <si>
    <t>FWS-R8-ES-2018-0105-0002.pdf</t>
  </si>
  <si>
    <t>FOIA-FWS-2020-00724-0001018</t>
  </si>
  <si>
    <t>FWS-R8-ES-2018-0105-0003.pdf</t>
  </si>
  <si>
    <t>FOIA-FWS-2020-00724-0001019</t>
  </si>
  <si>
    <t>FWS-R8-ES-2018-0105-0004.pdf</t>
  </si>
  <si>
    <t>FOIA-FWS-2020-00724-0001020</t>
  </si>
  <si>
    <t>FWS-R8-ES-2018-0105-0005.pdf</t>
  </si>
  <si>
    <t>FOIA-FWS-2020-00724-0001021</t>
  </si>
  <si>
    <t>FWS-R8-ES-2018-0105-0001_content.pdf</t>
  </si>
  <si>
    <t>FOIA-FWS-2020-00724-0001022</t>
  </si>
  <si>
    <t>Fwd: fisher media inquiry review The link to the federal register still works.</t>
  </si>
  <si>
    <t>FOIA-FWS-2020-00724-0001023</t>
  </si>
  <si>
    <t>Re: fisher media inquiry review</t>
  </si>
  <si>
    <t>FOIA-FWS-2020-00724-0001024</t>
  </si>
  <si>
    <t>Re: website</t>
  </si>
  <si>
    <t>FOIA-FWS-2020-00724-0001025</t>
  </si>
  <si>
    <t>Comments February 2019 NOA.pdf</t>
  </si>
  <si>
    <t>FOIA-FWS-2020-00724-0001026</t>
  </si>
  <si>
    <t>FWS-R8-ES-2018-0105-0006.pdf</t>
  </si>
  <si>
    <t>FOIA-FWS-2020-00724-0001027</t>
  </si>
  <si>
    <t>FWS-R8-ES-2018-0105-0007.pdf</t>
  </si>
  <si>
    <t>FOIA-FWS-2020-00724-0001028</t>
  </si>
  <si>
    <t>Hershey, Kit</t>
  </si>
  <si>
    <t>Daniel Russell</t>
  </si>
  <si>
    <t>Mission accomplished</t>
  </si>
  <si>
    <t>FOIA-FWS-2020-00724-0001029</t>
  </si>
  <si>
    <t>Vogel, Bill</t>
  </si>
  <si>
    <t>Froschauer, Ann; Radmer, Zachary; McDowell, Tom</t>
  </si>
  <si>
    <t>Re: Service Seeks Additional Public Input on Proposed Listing of Pacific Fisher</t>
  </si>
  <si>
    <t>FOIA-FWS-2020-00724-0001030</t>
  </si>
  <si>
    <t>Matthews, Sean Michael</t>
  </si>
  <si>
    <t>[EXTERNAL] CA Fisher Working Group Draft Agenda</t>
  </si>
  <si>
    <t>CAFWG_2019_Agenda_Draft_3.docx</t>
  </si>
  <si>
    <t>FOIA-FWS-2020-00724-0001032</t>
  </si>
  <si>
    <t>TWS_WS_AnnualMeeting_Feb2019_StephanieEyesMeetingNotes_FireEcol&amp;ForestHealthPreSymposium.pdf</t>
  </si>
  <si>
    <t>FOIA-FWS-2020-00724-0001033</t>
  </si>
  <si>
    <t>FWS-R8-ES-2018-0105-0008.pdf</t>
  </si>
  <si>
    <t>FOIA-FWS-2020-00724-0001034</t>
  </si>
  <si>
    <t>FWS-R8-ES-2018-0105-0009.pdf</t>
  </si>
  <si>
    <t>FOIA-FWS-2020-00724-0001035</t>
  </si>
  <si>
    <t>FWS-R8-ES-2018-0105-0010.pdf</t>
  </si>
  <si>
    <t>FOIA-FWS-2020-00724-0001036</t>
  </si>
  <si>
    <t>FWS-R8-ES-2018-0105-0011.pdf</t>
  </si>
  <si>
    <t>FOIA-FWS-2020-00724-0001037</t>
  </si>
  <si>
    <t>FWS-R8-ES-2018-0105-0012.pdf</t>
  </si>
  <si>
    <t>FOIA-FWS-2020-00724-0001038</t>
  </si>
  <si>
    <t>FWS-R8-ES-2018-0105-0013.pdf</t>
  </si>
  <si>
    <t>FOIA-FWS-2020-00724-0001039</t>
  </si>
  <si>
    <t>FWS-R8-ES-2018-0105-0014.pdf</t>
  </si>
  <si>
    <t>FOIA-FWS-2020-00724-0001040</t>
  </si>
  <si>
    <t>FWS-R8-ES-2018-0105-0015.pdf</t>
  </si>
  <si>
    <t>FOIA-FWS-2020-00724-0001041</t>
  </si>
  <si>
    <t>0028_Attachment2_NW Forest Plan 25 years later-wildfire loss up bird pops down.pdf</t>
  </si>
  <si>
    <t>FOIA-FWS-2020-00724-0001042</t>
  </si>
  <si>
    <t>Froschauer, Ann</t>
  </si>
  <si>
    <t>Re: FYI- fisher announcement tomorrow</t>
  </si>
  <si>
    <t>FOIA-FWS-2020-00724-0001043</t>
  </si>
  <si>
    <t>Fisher - Is call tomorrow or on the 11th?</t>
  </si>
  <si>
    <t>FOIA-FWS-2020-00724-0001044</t>
  </si>
  <si>
    <t>Re: Fisher DPS alternative shape files</t>
  </si>
  <si>
    <t>FOIA-FWS-2020-00724-0001045</t>
  </si>
  <si>
    <t>Fwd: [EXTERNAL] CA Fisher Working Group Draft Agenda</t>
  </si>
  <si>
    <t>FOIA-FWS-2020-00724-0001047</t>
  </si>
  <si>
    <t>Davis, Raymond J -FS</t>
  </si>
  <si>
    <t>RE: [EXTERNAL] RE: Request for LT trend tool analysis for fisher. The link in this email string still works.</t>
  </si>
  <si>
    <t>West_Coast_Fisher_DPS_Alternative_2.dbf</t>
  </si>
  <si>
    <t>West_Coast_Fisher_DPS_Alternative_2.prj</t>
  </si>
  <si>
    <t>West_Coast_Fisher_DPS_Alternative_2.shp</t>
  </si>
  <si>
    <t>West_Coast_Fisher_DPS_Alternative_2.shp.xml</t>
  </si>
  <si>
    <t>West_Coast_Fisher_DPS_Alternative_2.shx</t>
  </si>
  <si>
    <t>West_Coast_Fisher_DPS_Proposed_Rule.dbf</t>
  </si>
  <si>
    <t>West_Coast_Fisher_DPS_Proposed_Rule.prj</t>
  </si>
  <si>
    <t>West_Coast_Fisher_DPS_Proposed_Rule.sbn</t>
  </si>
  <si>
    <t>West_Coast_Fisher_DPS_Proposed_Rule.sbx</t>
  </si>
  <si>
    <t>West_Coast_Fisher_DPS_Proposed_Rule.shp</t>
  </si>
  <si>
    <t>West_Coast_Fisher_DPS_Proposed_Rule.shp.xml</t>
  </si>
  <si>
    <t>West_Coast_Fisher_DPS_Proposed_Rule.shx</t>
  </si>
  <si>
    <t>FOIA-FWS-2020-00724-0001060</t>
  </si>
  <si>
    <t>Briefing Table(1).pdf</t>
  </si>
  <si>
    <t>FOIA-FWS-2020-00724-0001061</t>
  </si>
  <si>
    <t>SSN Fisher Working Grp Winter 2019-02-05 13.31 (Heather)_LA.wmv</t>
  </si>
  <si>
    <t>FOIA-FWS-2020-00724-0001062</t>
  </si>
  <si>
    <t>SSNFisherWorkingGroup_20190205_MeetingAgenda.pdf</t>
  </si>
  <si>
    <t>FOIA-FWS-2020-00724-0001063</t>
  </si>
  <si>
    <t>SSNFWG winter 2019 OfficialMeetingNotes_FINAL.pdf</t>
  </si>
  <si>
    <t>FOIA-FWS-2020-00724-0001064</t>
  </si>
  <si>
    <t>20190205_Fisher_Schedule(1).pdf</t>
  </si>
  <si>
    <t>FOIA-FWS-2020-00724-0001065</t>
  </si>
  <si>
    <t>FWS-R8-ES-2018-0105-0016.pdf</t>
  </si>
  <si>
    <t>FOIA-FWS-2020-00724-0001066</t>
  </si>
  <si>
    <t>FWS-R8-ES-2018-0105-0017.pdf</t>
  </si>
  <si>
    <t>FOIA-FWS-2020-00724-0001067</t>
  </si>
  <si>
    <t>FWS-R8-ES-2018-0105-0018.pdf</t>
  </si>
  <si>
    <t>FOIA-FWS-2020-00724-0001068</t>
  </si>
  <si>
    <t>20190205_Fisher_Schedule.pdf</t>
  </si>
  <si>
    <t>FOIA-FWS-2020-00724-0001069</t>
  </si>
  <si>
    <t>20190205_Meeting Notes_Core Team DPS Meeting.pdf</t>
  </si>
  <si>
    <t>FOIA-FWS-2020-00724-0001070</t>
  </si>
  <si>
    <t>Google Calendar</t>
  </si>
  <si>
    <t>kit_hershey@fws.gov; rollie_white@fws.gov; michael_long@fws.gov; jennifer_norris@fws.gov; michael_fris@fws.gov; brad_thompson@fws.gov; daniel_blake@fws.gov; michael_senn@fws.gov; paul_henson@fws.gov; heidi_crowell@fws.gov; daniel_russell@fws.gov; dan_everson@fws.gov; jenny_ericson@fws.gov</t>
  </si>
  <si>
    <t>HOLD - Fisher DPS Discussion</t>
  </si>
  <si>
    <t>FOIA-FWS-2020-00724-0001071</t>
  </si>
  <si>
    <t>Re: FW: Powerpoint from final determination meeting</t>
  </si>
  <si>
    <t>FOIA-FWS-2020-00724-0001072</t>
  </si>
  <si>
    <t>FOIA-FWS-2020-00724-0001073</t>
  </si>
  <si>
    <t>FOIA-FWS-2020-00724-0001074</t>
  </si>
  <si>
    <t>Thrailkill, Jim; Garner, Kim; Henson, Paul; White, Rollie; Hershey, Kit</t>
  </si>
  <si>
    <t>Latest fisher range estimation from SW Oregon surveys</t>
  </si>
  <si>
    <t>Barry_2018_thesis-OR_fisher_range.pdf</t>
  </si>
  <si>
    <t>FOIA-FWS-2020-00724-0001076</t>
  </si>
  <si>
    <t>Katie Swift</t>
  </si>
  <si>
    <t>Heather Milne</t>
  </si>
  <si>
    <t>RE: [EXTERNAL] new grad student project fisher - mt beaver</t>
  </si>
  <si>
    <t>FOIA-FWS-2020-00724-0001077</t>
  </si>
  <si>
    <t>Brad Thompson</t>
  </si>
  <si>
    <t>Rollie White</t>
  </si>
  <si>
    <t>Re: R1 Representation on Fisher Team</t>
  </si>
  <si>
    <t>FOIA-FWS-2020-00724-0001078</t>
  </si>
  <si>
    <t>FOIA-FWS-2020-00724-0001079</t>
  </si>
  <si>
    <t>Hull, Josh</t>
  </si>
  <si>
    <t>Re: Fisher resources</t>
  </si>
  <si>
    <t>20130514_5-8-13 Pre-Recommendation Team Meeting_preferred alternative for West Coast DPS fisher.docx</t>
  </si>
  <si>
    <t>20130917_draft West Coast fisher DPS rationale.docx</t>
  </si>
  <si>
    <t>20140827_WestCoastDPSfisher_pL_Briefing Paper and Talking Points.docx</t>
  </si>
  <si>
    <t>20150226_Fisher 5 DPS Alternatives Table_two tables draft_clean.docx</t>
  </si>
  <si>
    <t>20150226_Information Memo Fisher DPS_draft.docx</t>
  </si>
  <si>
    <t>20150908_DPS Alternatives.doc</t>
  </si>
  <si>
    <t>FOIA-FWS-2020-00724-0001087</t>
  </si>
  <si>
    <t>Aubry, Keith - FS</t>
  </si>
  <si>
    <t>Radmer, Zachary; Lewis, Jeffrey C (DFW); Chestnut, Tara E; Dwerntz@Conservationnw.org; Anderson, Hannah E (DFW); Ransom, Jason I; Howell, Betsy L -FS; Jakubowski, John E -FS; Happe, Patricia J; Piper, Susan D -FS; Rob McCoy; Jenkins, Kurt J; Aluzas, Kurt A -FS; Moriarty, Katie -FS; kphillips@quinault.org; Raley, Cathy -FS; Plumage, Jesse -FS; Reed, Phyllis L -FS; Chapman, Joshua L -FS; Chartier, Neil - FS; Woodrow, Aja -FS</t>
  </si>
  <si>
    <t>RE: Service opens another comment period for proposed listing of Pacific Fisher</t>
  </si>
  <si>
    <t>Aubry et al. - Fisher rest structures and microsites 2018.pdf</t>
  </si>
  <si>
    <t>FOIA-FWS-2020-00724-0001089</t>
  </si>
  <si>
    <t>FWS-R8-ES-2018-0105-0019.pdf</t>
  </si>
  <si>
    <t>FOIA-FWS-2020-00724-0001090</t>
  </si>
  <si>
    <t>FWS-R8-ES-2018-0105-0020.pdf</t>
  </si>
  <si>
    <t>FOIA-FWS-2020-00724-0001091</t>
  </si>
  <si>
    <t>FWS-R8-ES-2018-0105-0021.pdf</t>
  </si>
  <si>
    <t>FOIA-FWS-2020-00724-0001092</t>
  </si>
  <si>
    <t>2018-1210_0047_Info for review prior to upcoming DPS fisher meeting--12-18-2018_04_Att3_Briefing Table.pdf</t>
  </si>
  <si>
    <t>FOIA-FWS-2020-00724-0001093</t>
  </si>
  <si>
    <t>20190206_MeetingNotes_TWS-WS_CaliforniaFisherWorkingGroup_SEyes.pdf</t>
  </si>
  <si>
    <t>FOIA-FWS-2020-00724-0001094</t>
  </si>
  <si>
    <t>FW: Service opens another comment period for proposed listing of Pacific Fisher</t>
  </si>
  <si>
    <t>FOIA-FWS-2020-00724-0001095</t>
  </si>
  <si>
    <t>Re: \[EXTERNAL\] new grad student project fisher - mt beaver</t>
  </si>
  <si>
    <t>FOIA-FWS-2020-00724-0001096</t>
  </si>
  <si>
    <t>Jocelyn Akins</t>
  </si>
  <si>
    <t>Service opens another comment period for proposed listing of Pacific Fisher</t>
  </si>
  <si>
    <t>2019 CCP fisher report.pdf</t>
  </si>
  <si>
    <t>FOIA-FWS-2020-00724-0001098</t>
  </si>
  <si>
    <t>Hutchinson, Jenny</t>
  </si>
  <si>
    <t>Shannon Brinkman</t>
  </si>
  <si>
    <t>Re: fisher comment matrix  The link in the email is referring to https://www.regulations.gov/docket/FWS-R8-ES-2018-0105</t>
  </si>
  <si>
    <t>20150813_version_Fisher Comments Summary_workingcopy.xlsx (1).xlsx</t>
  </si>
  <si>
    <t>Withdrawal_FR_notice_20160418.pdf</t>
  </si>
  <si>
    <t>FOIA-FWS-2020-00724-0001101</t>
  </si>
  <si>
    <t>Nimish Vyas peer review.pdf</t>
  </si>
  <si>
    <t>FOIA-FWS-2020-00724-0001102</t>
  </si>
  <si>
    <t>Re: Fisher - Potential Tasks Remaining</t>
  </si>
  <si>
    <t>FOIA-FWS-2020-00724-0001103</t>
  </si>
  <si>
    <t>Drake, Madeline K; Russell, Daniel; Finley, Laura; Willy, Elizabeth</t>
  </si>
  <si>
    <t>Invitation: Fisher Team Coordination Call @ Tue Feb 12, 2019 8am - 9:30am (PST)  (laura_finley@fws.gov)</t>
  </si>
  <si>
    <t>heidi_crowell@fws.gov</t>
  </si>
  <si>
    <t>madeline_drake@fws.gov;daniel_russell@fws.gov;laura_finley@fws.gov;heidi_crowell@fws.gov;elizabeth_willy@fws.gov</t>
  </si>
  <si>
    <t>Fisher Team Coordination Call</t>
  </si>
  <si>
    <t>FOIA-FWS-2020-00724-0001105</t>
  </si>
  <si>
    <t>Finley, Laura; Livingston, Sue</t>
  </si>
  <si>
    <t>Re: Fisher 2019 - Invitation to collaborate  Fileshare links have expired. See the file "NSO habitat baseline reset fires.zip" for an approximation of the files that were part of the fileshare link.</t>
  </si>
  <si>
    <t>FOIA-FWS-2020-00724-0001106</t>
  </si>
  <si>
    <t>NSO habitat baseline reset fires.zip</t>
  </si>
  <si>
    <t>FOIA-FWS-2020-00724-0001107</t>
  </si>
  <si>
    <t>FWS-R8-ES-2018-0105-0030_Att1.pdf</t>
  </si>
  <si>
    <t>FOIA-FWS-2020-00724-0001108</t>
  </si>
  <si>
    <t>0030.pdf</t>
  </si>
  <si>
    <t>FOIA-FWS-2020-00724-0001109</t>
  </si>
  <si>
    <t>CalFire 2019.pdf</t>
  </si>
  <si>
    <t>FOIA-FWS-2020-00724-0001110</t>
  </si>
  <si>
    <t>Drake, Madeline K</t>
  </si>
  <si>
    <t>Fisher Peer Review</t>
  </si>
  <si>
    <t>Peer_Review_(Michael_Schartz)_.pdf</t>
  </si>
  <si>
    <t>FOIA-FWS-2020-00724-0001112</t>
  </si>
  <si>
    <t>FOIA-FWS-2020-00724-0001113</t>
  </si>
  <si>
    <t>FOIA-FWS-2020-00724-0001114</t>
  </si>
  <si>
    <t>Re: [EXTERNAL] RE: Request for LT trend tool analysis for fisher</t>
  </si>
  <si>
    <t>FOIA-FWS-2020-00724-0001115</t>
  </si>
  <si>
    <t>[EXTERNAL] RE: Final final Stirling report</t>
  </si>
  <si>
    <t>FOIA-FWS-2020-00724-0001116</t>
  </si>
  <si>
    <t>Map1 - 2014 proposed DPS.pdf</t>
  </si>
  <si>
    <t>FOIA-FWS-2020-00724-0001117</t>
  </si>
  <si>
    <t>Map2 - 2019 DPS Alternative - One DPS.pdf</t>
  </si>
  <si>
    <t>FOIA-FWS-2020-00724-0001118</t>
  </si>
  <si>
    <t>Map3 - 2019 DPS Alternative - Two DPSs.pdf</t>
  </si>
  <si>
    <t>FOIA-FWS-2020-00724-0001119</t>
  </si>
  <si>
    <t>20140501_summary of 2014 DPS process.pdf</t>
  </si>
  <si>
    <t>FOIA-FWS-2020-00724-0001120</t>
  </si>
  <si>
    <t>FWS-R8-ES-2018-0105-0024.pdf</t>
  </si>
  <si>
    <t>FOIA-FWS-2020-00724-0001121</t>
  </si>
  <si>
    <t>FWS-R8-ES-2018-0105-0025.pdf</t>
  </si>
  <si>
    <t>FOIA-FWS-2020-00724-0001122</t>
  </si>
  <si>
    <t>FWS-R8-ES-2018-0105-0026.pdf</t>
  </si>
  <si>
    <t>FOIA-FWS-2020-00724-0001123</t>
  </si>
  <si>
    <t>FWS-R8-ES-2018-0105-0027.pdf</t>
  </si>
  <si>
    <t>FOIA-FWS-2020-00724-0001124</t>
  </si>
  <si>
    <t>FWS-R8-ES-2018-0105-0027_Att1.pdf</t>
  </si>
  <si>
    <t>FOIA-FWS-2020-00724-0001125</t>
  </si>
  <si>
    <t>201902__SOL emails re DPS process.pdf</t>
  </si>
  <si>
    <t>FOIA-FWS-2020-00724-0001126</t>
  </si>
  <si>
    <t>Re: question about use of preliminary data analyses and presentations for fisher updated science compilation</t>
  </si>
  <si>
    <t>FOIA-FWS-2020-00724-0001127</t>
  </si>
  <si>
    <t>Rebecca Green</t>
  </si>
  <si>
    <t>Re: [EXTERNAL] Re: Fisher listing request: information on types of information accepted</t>
  </si>
  <si>
    <t>FOIA-FWS-2020-00724-0001128</t>
  </si>
  <si>
    <t>Finley, Laura; Drake, Madeline K; Livingston, Sue; Russell, Daniel; Willy, Elizabeth</t>
  </si>
  <si>
    <t>Invitation: Fisher Team Call @ Thu Feb 14, 2019 10:30am - 12pm (PST) (laura_finley@fws.gov)</t>
  </si>
  <si>
    <t>laura_finley@fws.gov;madeline_drake@fws.gov;heidi_crowell@fws.gov;sue_livingston@fws.gov;daniel_russell@fws.gov;josh_hull@fws.gov;elizabeth_willy@fws.gov</t>
  </si>
  <si>
    <t>FOIA-FWS-2020-00724-0001130</t>
  </si>
  <si>
    <t>Rebecca Green; Eyes, Stephanie A</t>
  </si>
  <si>
    <t>[EXTERNAL] RE: Fisher listing request: information on types of information accepted</t>
  </si>
  <si>
    <t>FOIA-FWS-2020-00724-0001131</t>
  </si>
  <si>
    <t>Crowell, Heidi; Livingston, Sue; Finley, Laura; Drake, Madeline K; Hull, Josh; Russell, Daniel</t>
  </si>
  <si>
    <t>Peer Review comments on DPS</t>
  </si>
  <si>
    <t>20190212 Peer Review comments on DPS.docx</t>
  </si>
  <si>
    <t>FOIA-FWS-2020-00724-0001133</t>
  </si>
  <si>
    <t>Finley, Laura; Russell, Daniel; Drake, Madeline K; Willy, Elizabeth; Hull, Josh; Livingston, Sue</t>
  </si>
  <si>
    <t>Draft Files for our next meeting</t>
  </si>
  <si>
    <t>FOIA-FWS-2020-00724-0001134</t>
  </si>
  <si>
    <t>zachary_radmer@fws.gov</t>
  </si>
  <si>
    <t>heidi_crowell@fws.gov, sue_livingston@fws.gov</t>
  </si>
  <si>
    <t>20190213_email_Fisher reintroduction into North Cascades.pdf</t>
  </si>
  <si>
    <t>FOIA-FWS-2020-00724-0001135</t>
  </si>
  <si>
    <t>20190214_fisher DPS file.pdf</t>
  </si>
  <si>
    <t>FOIA-FWS-2020-00724-0001136</t>
  </si>
  <si>
    <t>Russell, Daniel; Finley, Laura; Livingston, Sue; Willy, Elizabeth; Drake, Madeline K; Hull, Josh</t>
  </si>
  <si>
    <t>Fwd: Any new WA fisher survey reports that we might not have?</t>
  </si>
  <si>
    <t>Washington DPS.doc</t>
  </si>
  <si>
    <t>FOIA-FWS-2020-00724-0001138</t>
  </si>
  <si>
    <t>Fris, Michael</t>
  </si>
  <si>
    <t>Ericson, Jenny; Willy, Elizabeth; Blake, Daniel; Livingston, Sue; Russell, Daniel; Thompson, Brad; Everson, Dan; Hull, Josh; Crowell, Heidi; Hershey, Kit; Norris, Jennifer; White, Rollie; Thrailkill, Jim; Henson, Paul; O'Hara, Kerry; Radmer, Zachary; Drake, Madeline K; Glenne, Gina; Finley, Laura</t>
  </si>
  <si>
    <t>Invitation: Hold - Fisher @ Thu Feb 28, 2019 1pm - 3:30pm (PST) (gina_glenne@fws.gov)</t>
  </si>
  <si>
    <t>jenny_ericson@fws.gov;elizabeth_willy@fws.gov;daniel_blake@fws.gov;michael_fris@fws.gov;sue_livingston@fws.gov;daniel_russell@fws.gov;brad_thompson@fws.gov;dan_everson@fws.gov;josh_hull@fws.gov;heidi_crowell@fws.gov;kit_hershey@fws.gov;jennifer_norris@fws.gov;rollie_white@fws.gov;jim_thrailkill@fws.gov;paul_henson@fws.gov;kerry.o'hara@sol.doi.gov;zachary_radmer@fws.gov;madeline_drake@fws.gov;gina_glenne@fws.gov;laura_finley@fws.gov</t>
  </si>
  <si>
    <t>FOIA-FWS-2020-00724-0001140</t>
  </si>
  <si>
    <t>Anderson, Hannah E (DFW)</t>
  </si>
  <si>
    <t>[EXTERNAL] RE: Some documents and text that might help you with your letter</t>
  </si>
  <si>
    <t>FOIA-FWS-2020-00724-0001141</t>
  </si>
  <si>
    <t>Fisher Question from Team- DPS boundary</t>
  </si>
  <si>
    <t>FOIA-FWS-2020-00724-0001142</t>
  </si>
  <si>
    <t>Long, Michael J; Russell, Daniel</t>
  </si>
  <si>
    <t>RE: Quick summary of Fisher DPS issue options (Attorney-Client Privilege)</t>
  </si>
  <si>
    <t>FOIA-FWS-2020-00724-0001143</t>
  </si>
  <si>
    <t>Fwd: [EXTERNAL] extension - fisher comment period April 4?</t>
  </si>
  <si>
    <t>FOIA-FWS-2020-00724-0001144</t>
  </si>
  <si>
    <t>Fwd: Fisher DPS Path Forward framework</t>
  </si>
  <si>
    <t>FOIA-FWS-2020-00724-0001145</t>
  </si>
  <si>
    <t>Ericson, Jenny; Finley, Laura; Russell, Daniel</t>
  </si>
  <si>
    <t>Updated invitation: Dan, Jenny, Laura, Gina @ Fri Feb 15, 2019 1pm - 2pm (PST) (laura_finley@fws.gov)</t>
  </si>
  <si>
    <t>gina_glenne@fws.gov;jenny_ericson@fws.gov;laura_finley@fws.gov;daniel_russell@fws.gov</t>
  </si>
  <si>
    <t>FOIA-FWS-2020-00724-0001147</t>
  </si>
  <si>
    <t>Kanim, Nadine; Jordan, Christine J; Galloway, Shaughn L</t>
  </si>
  <si>
    <t>Fwd: Did you see this in Gov. Newsom's State of the State?  The email link does not work. It may be this article: https://www.times-standard.com/2019/02/12/gavin-newsom-plans-to-send-national-guard-troops-north-to-tackle-illegal-pot-grows/</t>
  </si>
  <si>
    <t>FOIA-FWS-2020-00724-0001148</t>
  </si>
  <si>
    <t>craig.thompson@consbio.org</t>
  </si>
  <si>
    <t>Fisher response to Aspen and French Fires manuscript?</t>
  </si>
  <si>
    <t>FOIA-FWS-2020-00724-0001149</t>
  </si>
  <si>
    <t>fisher alternatives</t>
  </si>
  <si>
    <t>fisher proposed rule.pdf</t>
  </si>
  <si>
    <t>FOIA-FWS-2020-00724-0001151</t>
  </si>
  <si>
    <t>Re: [EXTERNAL] Reopening of Comment Period for proposed listing of Pacific Fisher</t>
  </si>
  <si>
    <t>FOIA-FWS-2020-00724-0001152</t>
  </si>
  <si>
    <t>question about review</t>
  </si>
  <si>
    <t>FisherLitigationUpdatedScienceCompilationSummary_SEyes.xlsx</t>
  </si>
  <si>
    <t>FOIA-FWS-2020-00724-0001154</t>
  </si>
  <si>
    <t>Fwd: [EXTERNAL] Fisher Comment Letter. The attachment from the initial email is titled: "Jenny Ericson USFWS Feb 12 2019" and is available elsewhere in this FOIA response.</t>
  </si>
  <si>
    <t>FOIA-FWS-2020-00724-0001155</t>
  </si>
  <si>
    <t>FWS-R8-ES-2018-0105-0055_Att1.pdf</t>
  </si>
  <si>
    <t>FOIA-FWS-2020-00724-0001156</t>
  </si>
  <si>
    <t>Seth Barnes</t>
  </si>
  <si>
    <t>Seth Barnes email.pdf</t>
  </si>
  <si>
    <t>FOIA-FWS-2020-00724-0001157</t>
  </si>
  <si>
    <t>0028_Attachment2.pdf</t>
  </si>
  <si>
    <t>FOIA-FWS-2020-00724-0001158</t>
  </si>
  <si>
    <t>[EXTERNAL] Re: Fisher response to Aspen and French Fires manuscript?</t>
  </si>
  <si>
    <t>FOIA-FWS-2020-00724-0001159</t>
  </si>
  <si>
    <t>[EXTERNAL] French Aspen paper</t>
  </si>
  <si>
    <t>Figure_1.jpg</t>
  </si>
  <si>
    <t>Figure_2.jpg</t>
  </si>
  <si>
    <t>Fisher use of a post-fire landscape_CThompson.pdf</t>
  </si>
  <si>
    <t>Supplemental_APP1.JPG</t>
  </si>
  <si>
    <t>FOIA-FWS-2020-00724-0001164</t>
  </si>
  <si>
    <t>Alt1_and_NCSOAddition.pdf</t>
  </si>
  <si>
    <t>FOIA-FWS-2020-00724-0001165</t>
  </si>
  <si>
    <t>Alt2_and_NCSOAddition.pdf</t>
  </si>
  <si>
    <t>FOIA-FWS-2020-00724-0001166</t>
  </si>
  <si>
    <t>NCSO_Addition_Rationale.pdf</t>
  </si>
  <si>
    <t>FOIA-FWS-2020-00724-0001167</t>
  </si>
  <si>
    <t>ProposedRule_ExcludingWashington.pdf</t>
  </si>
  <si>
    <t>FOIA-FWS-2020-00724-0001168</t>
  </si>
  <si>
    <t>Surveys_Barry_2018.pdf</t>
  </si>
  <si>
    <t>FOIA-FWS-2020-00724-0001169</t>
  </si>
  <si>
    <t>zz_NCSO_Rationales.pdf</t>
  </si>
  <si>
    <t>FOIA-FWS-2020-00724-0001170</t>
  </si>
  <si>
    <t>FWS-R8-ES-2018-0105-0028.pdf</t>
  </si>
  <si>
    <t>FOIA-FWS-2020-00724-0001171</t>
  </si>
  <si>
    <t>FWS-R8-ES-2018-0105-0029.pdf</t>
  </si>
  <si>
    <t>FOIA-FWS-2020-00724-0001172</t>
  </si>
  <si>
    <t>FWS-R8-ES-2018-0105-0030.pdf</t>
  </si>
  <si>
    <t>FOIA-FWS-2020-00724-0001173</t>
  </si>
  <si>
    <t>PR map and 2 alternatives.pdf</t>
  </si>
  <si>
    <t>FOIA-FWS-2020-00724-0001174</t>
  </si>
  <si>
    <t>0032_Attachment1.pdf</t>
  </si>
  <si>
    <t>FOIA-FWS-2020-00724-0001175</t>
  </si>
  <si>
    <t>0039_Attachment1.pdf</t>
  </si>
  <si>
    <t>FOIA-FWS-2020-00724-0001176</t>
  </si>
  <si>
    <t>Fwd: FW: [EXTERNAL] RE: FWS â€‹Seeks Additional Public Input on Proposed Listing of Pacific Fisher  The link in the email string still works.</t>
  </si>
  <si>
    <t>FOIA-FWS-2020-00724-0001178</t>
  </si>
  <si>
    <t>Re: Fisher maps - and conversation with Dan last week</t>
  </si>
  <si>
    <t>FOIA-FWS-2020-00724-0001179</t>
  </si>
  <si>
    <t>GIS files for DPS alternatives</t>
  </si>
  <si>
    <t>FOIA-FWS-2020-00724-0001180</t>
  </si>
  <si>
    <t>Galloway, Shaughn L; Glenne, Gina; Ericson, Jenny</t>
  </si>
  <si>
    <t>Fwd: DPS Significance</t>
  </si>
  <si>
    <t>FOIA-FWS-2020-00724-0001181</t>
  </si>
  <si>
    <t>RogerPowell</t>
  </si>
  <si>
    <t>Re: [EXTERNAL] Re: Final final Stirling report</t>
  </si>
  <si>
    <t>FOIA-FWS-2020-00724-0001182</t>
  </si>
  <si>
    <t>Re: [EXTERNAL] French Aspen paper</t>
  </si>
  <si>
    <t>FOIA-FWS-2020-00724-0001183</t>
  </si>
  <si>
    <t>Maps for Fisher DPS DRAFT</t>
  </si>
  <si>
    <t>Alt1_and_NCSOAddition.jpg</t>
  </si>
  <si>
    <t>Alt2_and_NCSOAddition.jpg</t>
  </si>
  <si>
    <t>NCSO_Addition_Rationale.jpg</t>
  </si>
  <si>
    <t>ProposedRule_ExcludingWashington.jpg</t>
  </si>
  <si>
    <t>Surveys_Barry_2018.png</t>
  </si>
  <si>
    <t>FOIA-FWS-2020-00724-0001189</t>
  </si>
  <si>
    <t>FOIA-FWS-2020-00724-0001195</t>
  </si>
  <si>
    <t>Snow, Meghan K</t>
  </si>
  <si>
    <t>RE: [EXTERNAL] RE: FWS â€‹Seeks Additional Public Input on Proposed Listing of Pacific Fisher  The link in this email works.</t>
  </si>
  <si>
    <t>FOIA-FWS-2020-00724-0001196</t>
  </si>
  <si>
    <t>FOIA-FWS-2020-00724-0001197</t>
  </si>
  <si>
    <t>Finley, Laura; Hull, Josh; Drake, Madeline K; Willy, Elizabeth; Livingston, Sue; Russell, Daniel</t>
  </si>
  <si>
    <t>IMPORTANT---Prep for today's fisher meeting.  The links in this email no longer work. See "DPS File" elsewher in the FOIA request. The DPS_Maps.zip contains "Alt1_and_NCSOAddition", "Alt2_and_NCSOAddition", "NCSO_Addition_Rationale", "ProposeRule_ExcludingWashington", and "Surveys_Barry_2018".</t>
  </si>
  <si>
    <t>FOIA-FWS-2020-00724-0001198</t>
  </si>
  <si>
    <t>Fwd: [EXTERNAL] Re: Final final Stirling report</t>
  </si>
  <si>
    <t>FOIA-FWS-2020-00724-0001199</t>
  </si>
  <si>
    <t>Re: question about getting the latest science from Aaron Facka</t>
  </si>
  <si>
    <t>FOIA-FWS-2020-00724-0001200</t>
  </si>
  <si>
    <t>BRAD SMITH</t>
  </si>
  <si>
    <t>Re: [EXTERNAL] Re: request to share TWS Fish Camp presentation?</t>
  </si>
  <si>
    <t>FOIA-FWS-2020-00724-0001201</t>
  </si>
  <si>
    <t>Option_4 map</t>
  </si>
  <si>
    <t>FOIA-FWS-2020-00724-0001202</t>
  </si>
  <si>
    <t>Option_5.pdf</t>
  </si>
  <si>
    <t>FOIA-FWS-2020-00724-0001203</t>
  </si>
  <si>
    <t>Option_6.pdf</t>
  </si>
  <si>
    <t>FOIA-FWS-2020-00724-0001204</t>
  </si>
  <si>
    <t>Option_7.pdf</t>
  </si>
  <si>
    <t>FOIA-FWS-2020-00724-0001205</t>
  </si>
  <si>
    <t>[EXTERNAL] USFWS Proposal Fisher Grow Site 2019.pdf</t>
  </si>
  <si>
    <t>USFWS Proposal Fisher Grow Site 2019.pdf</t>
  </si>
  <si>
    <t>FOIA-FWS-2020-00724-0001207</t>
  </si>
  <si>
    <t>Touching bases. The link in this email to "DPS File" goes to a document with that title found elsewhere in this fisher FOIA.</t>
  </si>
  <si>
    <t>FOIA-FWS-2020-00724-0001208</t>
  </si>
  <si>
    <t>Livingston, Sue; Crowell, Heidi; Finley, Laura</t>
  </si>
  <si>
    <t>Fisher DPS file...progress so far</t>
  </si>
  <si>
    <t>FOIA-FWS-2020-00724-0001209</t>
  </si>
  <si>
    <t>Re: DPS ideas</t>
  </si>
  <si>
    <t>FOIA-FWS-2020-00724-0001210</t>
  </si>
  <si>
    <t>Clayton, Dave -FS</t>
  </si>
  <si>
    <t>Livingston, Sue; Katie Moriarty; Sean Matthews</t>
  </si>
  <si>
    <t>[EXTERNAL] RE: Fisher DNA in southern Oregon</t>
  </si>
  <si>
    <t>FOIA-FWS-2020-00724-0001211</t>
  </si>
  <si>
    <t>Katie Moriarty; Livingston, Sue; Sean Matthews</t>
  </si>
  <si>
    <t>FOIA-FWS-2020-00724-0001212</t>
  </si>
  <si>
    <t>Re: Touching bases   The link in this email to "DPS File" goes to a document with that title found elsewhere in this fisher FOIA.</t>
  </si>
  <si>
    <t>FOIA-FWS-2020-00724-0001213</t>
  </si>
  <si>
    <t>Chestnut, Tara E</t>
  </si>
  <si>
    <t>Fisher Toxicology/AR screening</t>
  </si>
  <si>
    <t>FOIA-FWS-2020-00724-0001214</t>
  </si>
  <si>
    <t>DPS File.pdf</t>
  </si>
  <si>
    <t>FOIA-FWS-2020-00724-0001215</t>
  </si>
  <si>
    <t>NCSO_determination_draft.pdf</t>
  </si>
  <si>
    <t>FOIA-FWS-2020-00724-0001216</t>
  </si>
  <si>
    <t>FWS-R8-ES-2018-0105-0031.pdf</t>
  </si>
  <si>
    <t>FOIA-FWS-2020-00724-0001217</t>
  </si>
  <si>
    <t>FWS-R8-ES-2018-0105-0037_Att1.pdf</t>
  </si>
  <si>
    <t>FOIA-FWS-2020-00724-0001218</t>
  </si>
  <si>
    <t>CA Department of Forestry and Fire Protection 2019 Community Wildfire Prevention and Mitigation Report.pdf</t>
  </si>
  <si>
    <t>FOIA-FWS-2020-00724-0001219</t>
  </si>
  <si>
    <t>Crowell, Heidi; Ericson, Jenny; Glenne, Gina</t>
  </si>
  <si>
    <t>HQ thoughts on extending fisher public comment period</t>
  </si>
  <si>
    <t>FOIA-FWS-2020-00724-0001220</t>
  </si>
  <si>
    <t>Fris, Michael; Thompson, Brad; Blake, Daniel; Russell, Daniel; Willy, Elizabeth; Norris, Jennifer; Ericson, Jenny; Hull, Josh; O'Hara, Kerry; Finley, Laura; Drake, Madeline K; Senn, Michael J; White, Rollie; Livingston, Sue; Radmer, Zachary; Thrailkill, Jim; Everson, Dan; Glenne, Gina; Hershey, Kit; Henson, Paul; Long, Michael J</t>
  </si>
  <si>
    <t>Important Materials to review--prep for Fisher DPS Meeting 2/28/2019</t>
  </si>
  <si>
    <t>2015_Peer Review comments on DPS.docx</t>
  </si>
  <si>
    <t>20190221_DRussell DPS Thoughts.docx</t>
  </si>
  <si>
    <t>DPS Map Option4.jpg</t>
  </si>
  <si>
    <t>DPS Map Option5.jpg</t>
  </si>
  <si>
    <t>DPS Map Option6.jpg</t>
  </si>
  <si>
    <t>DPS Map Option7.jpg</t>
  </si>
  <si>
    <t>DPS Maps Options1_2_3.pdf</t>
  </si>
  <si>
    <t>DPS Options File.docx</t>
  </si>
  <si>
    <t>FOIA-FWS-2020-00724-0001229</t>
  </si>
  <si>
    <t>Figura, Pete@Wildlife</t>
  </si>
  <si>
    <t>Re: [EXTERNAL] RE: question about state fisher listing  The link in this email string works.</t>
  </si>
  <si>
    <t>FOIA-FWS-2020-00724-0001230</t>
  </si>
  <si>
    <t>Townsend_Andria_TWS_WS_Presentation_InfluenceOfMastingHardwoodsOnFisher&amp;TreeSquirrels.pdf</t>
  </si>
  <si>
    <t>FOIA-FWS-2020-00724-0001231</t>
  </si>
  <si>
    <t>Andria M Townsend</t>
  </si>
  <si>
    <t>[EXTERNAL] Re: TWS presentation from Fish Camp?</t>
  </si>
  <si>
    <t>ATownsend_TWS - Compressesd_finaledit.pptx</t>
  </si>
  <si>
    <t>FOIA-FWS-2020-00724-0001233</t>
  </si>
  <si>
    <t>FisherLitigationUpdatedScienceCompilationSummary_SEyes_20190225.pdf</t>
  </si>
  <si>
    <t>FOIA-FWS-2020-00724-0001234</t>
  </si>
  <si>
    <t>0033_Attachment1.pdf</t>
  </si>
  <si>
    <t>FOIA-FWS-2020-00724-0001235</t>
  </si>
  <si>
    <t>Anderson, Alison; Aguilera, Amber; AverillMurray, AnnaLaura; Roessler, Arnold; Bridges, Bradd; Himelright, Brendan M; Brubaker, Kathleen; Darst, Cat; Mellison, Chad; Kallstrom, Corey; Giglio, Deborah; Bainbridge, Elizabeth G; Willy, Elizabeth; DeMarse, Ellie R; Chen, Ernest Y; Skora, Genevieve; Hazard, Gjon; Tarr, Glen; Crowell, Heidi; Hutchinson, Jenny L; Hull, Josh; Barrett, Justin S; Finley, Laura; Goldsmith, Laurel M; Carranza, Lee A; Drake, Madeline K; Crawford, Mary B; Baun, Matt; Kanim, Nadine; Banish, Nolan; Bierce, Pamela; McMorran, Robert; West, Sabrina; Kulpa, Sarah; Prevost, Stephanie C; Abele, Steve; Detwiler, Steven; Tharratt, Susie</t>
  </si>
  <si>
    <t>Peer Review Selection Process Question</t>
  </si>
  <si>
    <t>FOIA-FWS-2020-00724-0001236</t>
  </si>
  <si>
    <t>Kordosky, Jennifer R (DFW)</t>
  </si>
  <si>
    <t>[EXTERNAL] RE: Request for updated information on fisher populations  The link in this email works.</t>
  </si>
  <si>
    <t>FOIA-FWS-2020-00724-0001237</t>
  </si>
  <si>
    <t>Fisher status review from state used to inform their listing decision</t>
  </si>
  <si>
    <t>20160506_CARegulatoryNoticeRegister_19z-2016.pdf</t>
  </si>
  <si>
    <t>20160506_CARegulatoryNoticeRegister_19z-2016_ExcerptForFisherNoticeOfFindings.pdf</t>
  </si>
  <si>
    <t>FOIA-FWS-2020-00724-0001240</t>
  </si>
  <si>
    <t>FWS-R8-ES-2018-0105-0034.pdf</t>
  </si>
  <si>
    <t>FOIA-FWS-2020-00724-0001241</t>
  </si>
  <si>
    <t>FWS-R8-ES-2018-0105-0035.pdf</t>
  </si>
  <si>
    <t>FOIA-FWS-2020-00724-0001242</t>
  </si>
  <si>
    <t>FWS-R8-ES-2018-0105-0036.pdf</t>
  </si>
  <si>
    <t>FOIA-FWS-2020-00724-0001243</t>
  </si>
  <si>
    <t>DPS_option_crosswalk_R1.pdf</t>
  </si>
  <si>
    <t>FOIA-FWS-2020-00724-0001244</t>
  </si>
  <si>
    <t>0032.pdf</t>
  </si>
  <si>
    <t>FOIA-FWS-2020-00724-0001245</t>
  </si>
  <si>
    <t>0033.pdf</t>
  </si>
  <si>
    <t>FOIA-FWS-2020-00724-0001246</t>
  </si>
  <si>
    <t>Hurteau et al 2019 Vegetation fires feedback reduces projected area burned under climate change.pdf</t>
  </si>
  <si>
    <t>FOIA-FWS-2020-00724-0001247</t>
  </si>
  <si>
    <t>Fwd: FW: Federal Register Notice on Reopening of the Comment Period for Proposed Rule "Threatened Species Status for the West Coast Distinct Population Segment of Fisher"</t>
  </si>
  <si>
    <t>Federal Register Notice Reopening Comment Period Threatened Species Status Fisher.pdf</t>
  </si>
  <si>
    <t>FOIA-FWS-2020-00724-0001249</t>
  </si>
  <si>
    <t>Re: Potential additional fisher info</t>
  </si>
  <si>
    <t>FOIA-FWS-2020-00724-0001250</t>
  </si>
  <si>
    <t>Hershey, Kit; Henson, Paul; Garner, Kim; Thompson, Brad; White, Rollie; Thrailkill, Jim</t>
  </si>
  <si>
    <t>RE: Prep for Fisher call: call in 866-xxx-xxx, PC: xxxxxx#</t>
  </si>
  <si>
    <t>DPS_option_crosswalk_R1.docx</t>
  </si>
  <si>
    <t>FOIA-FWS-2020-00724-0001252</t>
  </si>
  <si>
    <t>Tom Wheeler</t>
  </si>
  <si>
    <t>Re: [EXTERNAL] Pacific Fisher comments</t>
  </si>
  <si>
    <t>FOIA-FWS-2020-00724-0001253</t>
  </si>
  <si>
    <t>McDowell, Tom; Radmer, Zachary; Thompson, Brad</t>
  </si>
  <si>
    <t>[EXTERNAL] Fisher comment letter</t>
  </si>
  <si>
    <t>Fisher proposed listing rule_WDFW comments_22Feb2019.pdf</t>
  </si>
  <si>
    <t>FOIA-FWS-2020-00724-0001255</t>
  </si>
  <si>
    <t>Russell, Daniel; Ericson, Jenny; Glenne, Gina</t>
  </si>
  <si>
    <t>Summaries from Public and Agency comment RE fisher DPS alternatives in proposed rule</t>
  </si>
  <si>
    <t>Public Comment summaries related to DPS2_26_2019.docx</t>
  </si>
  <si>
    <t>FOIA-FWS-2020-00724-0001257</t>
  </si>
  <si>
    <t>FWS-R8-ES-2018-0105-0037.pdf</t>
  </si>
  <si>
    <t>FOIA-FWS-2020-00724-0001258</t>
  </si>
  <si>
    <t>Fisher facts for Jody briefing</t>
  </si>
  <si>
    <t>BC and LF fisher for jody.docx</t>
  </si>
  <si>
    <t>FOIA-FWS-2020-00724-0001260</t>
  </si>
  <si>
    <t>Re: Fisher facts for Jody briefing</t>
  </si>
  <si>
    <t>FOIA-FWS-2020-00724-0001261</t>
  </si>
  <si>
    <t>20190228_Meeting Notes_R1-R8 DPS Decision_privileged ver.pdf</t>
  </si>
  <si>
    <t>FOIA-FWS-2020-00724-0001262</t>
  </si>
  <si>
    <t>FWS-R8-ES-2018-0105-0038.pdf</t>
  </si>
  <si>
    <t>FOIA-FWS-2020-00724-0001263</t>
  </si>
  <si>
    <t>FWS-R8-ES-2018-0105-0040_Att1.pdf</t>
  </si>
  <si>
    <t>FOIA-FWS-2020-00724-0001264</t>
  </si>
  <si>
    <t>2014pl FR Text.pdf</t>
  </si>
  <si>
    <t>FOIA-FWS-2020-00724-0001265</t>
  </si>
  <si>
    <t>FOIA-FWS-2020-00724-0001266</t>
  </si>
  <si>
    <t>FOIA-FWS-2020-00724-0001267</t>
  </si>
  <si>
    <t>FOIA-FWS-2020-00724-0001268</t>
  </si>
  <si>
    <t>FOIA-FWS-2020-00724-0001269</t>
  </si>
  <si>
    <t>FOIA-FWS-2020-00724-0001270</t>
  </si>
  <si>
    <t>FRdocDraftText.pdf</t>
  </si>
  <si>
    <t>FOIA-FWS-2020-00724-0001271</t>
  </si>
  <si>
    <t>FOIA-FWS-2020-00724-0001272</t>
  </si>
  <si>
    <t>FOIA-FWS-2020-00724-0001273</t>
  </si>
  <si>
    <t>FOIA-FWS-2020-00724-0001274</t>
  </si>
  <si>
    <t>FOIA-FWS-2020-00724-0001275</t>
  </si>
  <si>
    <t>FOIA-FWS-2020-00724-0001276</t>
  </si>
  <si>
    <t>Farber_Duprey_and_McFarland_2019_22819_Final.pdf</t>
  </si>
  <si>
    <t>FOIA-FWS-2020-00724-0001277</t>
  </si>
  <si>
    <t>0039.pdf</t>
  </si>
  <si>
    <t>FOIA-FWS-2020-00724-0001278</t>
  </si>
  <si>
    <t>Brent Barry</t>
  </si>
  <si>
    <t>[EXTERNAL] West Coast Fisher DPS Public Comment # 1k3-98im-vdu4</t>
  </si>
  <si>
    <t>PEPE_PresenceAbsence_USFWS_BarryComment.csv</t>
  </si>
  <si>
    <t>PEPE_PresenceAbsence_USFWS_BarryComment_dogtracks.csv</t>
  </si>
  <si>
    <t>PreliminaryFisherMeanOccupancy.png</t>
  </si>
  <si>
    <t>FOIA-FWS-2020-00724-0001282</t>
  </si>
  <si>
    <t>Re: [EXTERNAL] West Coast Fisher DPS Public Comment # 1k3-98im-vdu4</t>
  </si>
  <si>
    <t>FOIA-FWS-2020-00724-0001283</t>
  </si>
  <si>
    <t>FWS-R8-ES-2018-0105-0040.pdf</t>
  </si>
  <si>
    <t>FOIA-FWS-2020-00724-0001284</t>
  </si>
  <si>
    <t>FWS-R8-ES-2018-0105-0041.pdf</t>
  </si>
  <si>
    <t>FOIA-FWS-2020-00724-0001285</t>
  </si>
  <si>
    <t>FWS-R8-ES-2018-0105-0042.pdf</t>
  </si>
  <si>
    <t>FOIA-FWS-2020-00724-0001286</t>
  </si>
  <si>
    <t>FWS-R8-ES-2018-0105-0042_Att1.pdf</t>
  </si>
  <si>
    <t>FOIA-FWS-2020-00724-0001287</t>
  </si>
  <si>
    <t>FWS-R8-ES-2018-0105-0042_Att3.pdf</t>
  </si>
  <si>
    <t>FOIA-FWS-2020-00724-0001288</t>
  </si>
  <si>
    <t>FWS-R8-ES-2018-0105-0043_Att1.pdf</t>
  </si>
  <si>
    <t>FOIA-FWS-2020-00724-0001289</t>
  </si>
  <si>
    <t>0044_SPI.pdf</t>
  </si>
  <si>
    <t>FOIA-FWS-2020-00724-0001290</t>
  </si>
  <si>
    <t>CDFW 2019 Canine Distemper Virus in Siskiyou County.pdf</t>
  </si>
  <si>
    <t>FOIA-FWS-2020-00724-0001291</t>
  </si>
  <si>
    <t>Blake, Daniel; Johnson, Genevieve R</t>
  </si>
  <si>
    <t>notes from fisher call yesterday--contains privileged information</t>
  </si>
  <si>
    <t>20190228_Meeting Notes_R1-R8 DPS Decision_privileged ver.docx</t>
  </si>
  <si>
    <t>FOIA-FWS-2020-00724-0001293</t>
  </si>
  <si>
    <t>0047_KFA.pdf</t>
  </si>
  <si>
    <t>FOIA-FWS-2020-00724-0001294</t>
  </si>
  <si>
    <t>0058_westernwatersheds1.pdf</t>
  </si>
  <si>
    <t>FOIA-FWS-2020-00724-0001295</t>
  </si>
  <si>
    <t>FWS-R8-ES-2018-0105-0043.pdf</t>
  </si>
  <si>
    <t>FOIA-FWS-2020-00724-0001296</t>
  </si>
  <si>
    <t>FWS-R8-ES-2018-0105-0044.pdf</t>
  </si>
  <si>
    <t>FOIA-FWS-2020-00724-0001297</t>
  </si>
  <si>
    <t>FWS-R8-ES-2018-0105-0045.pdf</t>
  </si>
  <si>
    <t>FOIA-FWS-2020-00724-0001298</t>
  </si>
  <si>
    <t>FWS-R8-ES-2018-0105-0046.pdf</t>
  </si>
  <si>
    <t>FOIA-FWS-2020-00724-0001299</t>
  </si>
  <si>
    <t>FWS-R8-ES-2018-0105-0047.pdf</t>
  </si>
  <si>
    <t>FOIA-FWS-2020-00724-0001300</t>
  </si>
  <si>
    <t>FWS-R8-ES-2018-0105-0048.pdf</t>
  </si>
  <si>
    <t>FOIA-FWS-2020-00724-0001301</t>
  </si>
  <si>
    <t>FWS-R8-ES-2018-0105-0048_Att1.pdf</t>
  </si>
  <si>
    <t>FOIA-FWS-2020-00724-0001302</t>
  </si>
  <si>
    <t>FWS-R8-ES-2018-0105-0049.pdf</t>
  </si>
  <si>
    <t>FOIA-FWS-2020-00724-0001303</t>
  </si>
  <si>
    <t>FWS-R8-ES-2018-0105-0049_Att1.pdf</t>
  </si>
  <si>
    <t>FOIA-FWS-2020-00724-0001304</t>
  </si>
  <si>
    <t>FWS-R8-ES-2018-0105-0050.pdf</t>
  </si>
  <si>
    <t>FOIA-FWS-2020-00724-0001305</t>
  </si>
  <si>
    <t>FWS-R8-ES-2018-0105-0050_Att5.pdf</t>
  </si>
  <si>
    <t>FOIA-FWS-2020-00724-0001306</t>
  </si>
  <si>
    <t>FWS-R8-ES-2018-0105-0050_Att6.pdf</t>
  </si>
  <si>
    <t>FOIA-FWS-2020-00724-0001307</t>
  </si>
  <si>
    <t>FWS-R8-ES-2018-0105-0051.pdf</t>
  </si>
  <si>
    <t>FOIA-FWS-2020-00724-0001308</t>
  </si>
  <si>
    <t>FWS-R8-ES-2018-0105-0051_Att1.pdf</t>
  </si>
  <si>
    <t>FOIA-FWS-2020-00724-0001309</t>
  </si>
  <si>
    <t>FWS-R8-ES-2018-0105-0052.pdf</t>
  </si>
  <si>
    <t>FOIA-FWS-2020-00724-0001310</t>
  </si>
  <si>
    <t>FWS-R8-ES-2018-0105-0052_Att1.pdf</t>
  </si>
  <si>
    <t>FOIA-FWS-2020-00724-0001311</t>
  </si>
  <si>
    <t>FWS-R8-ES-2018-0105-0053.pdf</t>
  </si>
  <si>
    <t>FOIA-FWS-2020-00724-0001312</t>
  </si>
  <si>
    <t>FWS-R8-ES-2018-0105-0053_Att3.pdf</t>
  </si>
  <si>
    <t>FOIA-FWS-2020-00724-0001313</t>
  </si>
  <si>
    <t>FWS-R8-ES-2018-0105-0053_Att4.pdf</t>
  </si>
  <si>
    <t>FOIA-FWS-2020-00724-0001314</t>
  </si>
  <si>
    <t>FWS-R8-ES-2018-0105-0054.pdf</t>
  </si>
  <si>
    <t>FOIA-FWS-2020-00724-0001315</t>
  </si>
  <si>
    <t>FWS-R8-ES-2018-0105-0055.pdf</t>
  </si>
  <si>
    <t>FOIA-FWS-2020-00724-0001316</t>
  </si>
  <si>
    <t>FWS-R8-ES-2018-0105-0056.pdf</t>
  </si>
  <si>
    <t>FOIA-FWS-2020-00724-0001317</t>
  </si>
  <si>
    <t>FWS-R8-ES-2018-0105-0056_Att1.pdf</t>
  </si>
  <si>
    <t>FOIA-FWS-2020-00724-0001318</t>
  </si>
  <si>
    <t>FWS-R8-ES-2018-0105-0056_Att3.pdf</t>
  </si>
  <si>
    <t>FOIA-FWS-2020-00724-0001319</t>
  </si>
  <si>
    <t>FWS-R8-ES-2018-0105-0056_Att4.pdf</t>
  </si>
  <si>
    <t>FOIA-FWS-2020-00724-0001320</t>
  </si>
  <si>
    <t>FWS-R8-ES-2018-0105-0057.pdf</t>
  </si>
  <si>
    <t>FOIA-FWS-2020-00724-0001321</t>
  </si>
  <si>
    <t>FWS-R8-ES-2018-0105-0058.pdf</t>
  </si>
  <si>
    <t>FOIA-FWS-2020-00724-0001322</t>
  </si>
  <si>
    <t>FWS-R8-ES-2018-0105-0059.pdf</t>
  </si>
  <si>
    <t>FOIA-FWS-2020-00724-0001323</t>
  </si>
  <si>
    <t>FWS-R8-ES-2018-0105-0059_Att6.pdf</t>
  </si>
  <si>
    <t>FOIA-FWS-2020-00724-0001324</t>
  </si>
  <si>
    <t>FWS-R8-ES-2018-0105-0059_Att7.pdf</t>
  </si>
  <si>
    <t>FOIA-FWS-2020-00724-0001325</t>
  </si>
  <si>
    <t>FWS-R8-ES-2018-0105-0059_Att8.pdf</t>
  </si>
  <si>
    <t>FOIA-FWS-2020-00724-0001326</t>
  </si>
  <si>
    <t>FWS-R8-ES-2018-0105-0059_Att17.pdf</t>
  </si>
  <si>
    <t>FOIA-FWS-2020-00724-0001327</t>
  </si>
  <si>
    <t>FWS-R8-ES-2018-0105-0060.pdf</t>
  </si>
  <si>
    <t>FOIA-FWS-2020-00724-0001328</t>
  </si>
  <si>
    <t>FWS-R8-ES-2018-0105-0061.pdf</t>
  </si>
  <si>
    <t>FOIA-FWS-2020-00724-0001329</t>
  </si>
  <si>
    <t>FWS-R8-ES-2018-0105-0062_Att1.pdf</t>
  </si>
  <si>
    <t>FOIA-FWS-2020-00724-0001330</t>
  </si>
  <si>
    <t>FWS-R8-ES-2018-0105-0063_Att1.pdf</t>
  </si>
  <si>
    <t>FOIA-FWS-2020-00724-0001331</t>
  </si>
  <si>
    <t>FWS-R8-ES-2018-0105-0065_Att1.pdf</t>
  </si>
  <si>
    <t>FOIA-FWS-2020-00724-0001332</t>
  </si>
  <si>
    <t>FWS-R8-ES-2018-0105-0067_Att1.pdf</t>
  </si>
  <si>
    <t>FOIA-FWS-2020-00724-0001333</t>
  </si>
  <si>
    <t>FWS-R8-ES-2018-0105-0068.pdf</t>
  </si>
  <si>
    <t>FOIA-FWS-2020-00724-0001334</t>
  </si>
  <si>
    <t>FWS-R8-ES-2018-0105-0068_Att1.pdf</t>
  </si>
  <si>
    <t>FOIA-FWS-2020-00724-0001335</t>
  </si>
  <si>
    <t>FWS-R8-ES-2018-0105-0069_Att1.pdf</t>
  </si>
  <si>
    <t>FOIA-FWS-2020-00724-0001336</t>
  </si>
  <si>
    <t>20190304_Threat Table to Update.pdf</t>
  </si>
  <si>
    <t>FOIA-FWS-2020-00724-0001337</t>
  </si>
  <si>
    <t>NCASI_comment_Fisher_USFWS2019_190304.pdf</t>
  </si>
  <si>
    <t>FOIA-FWS-2020-00724-0001338</t>
  </si>
  <si>
    <t>0064_SequoiaForestKeeper.pdf</t>
  </si>
  <si>
    <t>FOIA-FWS-2020-00724-0001339</t>
  </si>
  <si>
    <t>0057_ODFW.pdf</t>
  </si>
  <si>
    <t>FOIA-FWS-2020-00724-0001340</t>
  </si>
  <si>
    <t>[EXTERNAL] FW: West Coast Fisher DPS - FWSâ€“R8â€“ESâ€“2018â€“0105</t>
  </si>
  <si>
    <t>FreWin_CarnivoreSurveys_2015_2016.dbf</t>
  </si>
  <si>
    <t>FreWin_CarnivoreSurveys_2015_2016.prj</t>
  </si>
  <si>
    <t>FreWin_CarnivoreSurveys_2015_2016.sbn</t>
  </si>
  <si>
    <t>FreWin_CarnivoreSurveys_2015_2016.sbx</t>
  </si>
  <si>
    <t>FreWin_CarnivoreSurveys_2015_2016.shp</t>
  </si>
  <si>
    <t>FreWin_CarnivoreSurveys_2015_2016.shp.xml</t>
  </si>
  <si>
    <t>FreWin_CarnivoreSurveys_2015_2016.shx</t>
  </si>
  <si>
    <t>FOIA-FWS-2020-00724-0001348</t>
  </si>
  <si>
    <t>RE: [EXTERNAL] FW: West Coast Fisher DPS - FWSâ€“R8â€“ESâ€“2018â€“0105</t>
  </si>
  <si>
    <t>FOIA-FWS-2020-00724-0001349</t>
  </si>
  <si>
    <t>Crowell, Heidi; Finley, Laura</t>
  </si>
  <si>
    <t>FW: [EXTERNAL] FW: West Coast Fisher DPS - FWSâ€“R8â€“ESâ€“2018â€“0105</t>
  </si>
  <si>
    <t>FOIA-FWS-2020-00724-0001357</t>
  </si>
  <si>
    <t>Crowell, Heidi; Russell, Daniel; Finley, Laura; Livingston, Sue; Drake, Madeline K; Hull, Josh</t>
  </si>
  <si>
    <t>threats table ready to update  The link in the email no longer works. However, the document "20190304_Threat Table to Update" is located elsewhere in this FOIA response.</t>
  </si>
  <si>
    <t>FOIA-FWS-2020-00724-0001358</t>
  </si>
  <si>
    <t>FOIA-FWS-2020-00724-0001359</t>
  </si>
  <si>
    <t>Re: [EXTERNAL] Re: TWS presentation from Fish Camp?</t>
  </si>
  <si>
    <t>SocialMedia_MartesWorkingGroup.pdf</t>
  </si>
  <si>
    <t>FOIA-FWS-2020-00724-0001361</t>
  </si>
  <si>
    <t>FWS-R8-ES-2018-0105-0062.pdf</t>
  </si>
  <si>
    <t>FOIA-FWS-2020-00724-0001362</t>
  </si>
  <si>
    <t>FWS-R8-ES-2018-0105-0063.pdf</t>
  </si>
  <si>
    <t>FOIA-FWS-2020-00724-0001363</t>
  </si>
  <si>
    <t>FWS-R8-ES-2018-0105-0063_Att2.pdf</t>
  </si>
  <si>
    <t>FOIA-FWS-2020-00724-0001364</t>
  </si>
  <si>
    <t>FWS-R8-ES-2018-0105-0063_Att4.pdf</t>
  </si>
  <si>
    <t>FOIA-FWS-2020-00724-0001365</t>
  </si>
  <si>
    <t>FWS-R8-ES-2018-0105-0064.pdf</t>
  </si>
  <si>
    <t>FOIA-FWS-2020-00724-0001366</t>
  </si>
  <si>
    <t>FWS-R8-ES-2018-0105-0064_Att6.pdf</t>
  </si>
  <si>
    <t>FOIA-FWS-2020-00724-0001367</t>
  </si>
  <si>
    <t>FWS-R8-ES-2018-0105-0064_Att9.pdf</t>
  </si>
  <si>
    <t>FOIA-FWS-2020-00724-0001368</t>
  </si>
  <si>
    <t>FWS-R8-ES-2018-0105-0064_Att10.pdf</t>
  </si>
  <si>
    <t>FOIA-FWS-2020-00724-0001369</t>
  </si>
  <si>
    <t>FWS-R8-ES-2018-0105-0065.pdf</t>
  </si>
  <si>
    <t>FOIA-FWS-2020-00724-0001370</t>
  </si>
  <si>
    <t>FWS-R8-ES-2018-0105-0066.pdf</t>
  </si>
  <si>
    <t>FOIA-FWS-2020-00724-0001371</t>
  </si>
  <si>
    <t>FWS-R8-ES-2018-0105-0066_Att1.pdf</t>
  </si>
  <si>
    <t>FOIA-FWS-2020-00724-0001372</t>
  </si>
  <si>
    <t>FWS-R8-ES-2018-0105-0067.pdf</t>
  </si>
  <si>
    <t>FOIA-FWS-2020-00724-0001373</t>
  </si>
  <si>
    <t>FWS-R8-ES-2018-0105-0069.pdf</t>
  </si>
  <si>
    <t>FOIA-FWS-2020-00724-0001374</t>
  </si>
  <si>
    <t>FWS-R8-ES-2018-0105-0070.pdf</t>
  </si>
  <si>
    <t>FOIA-FWS-2020-00724-0001375</t>
  </si>
  <si>
    <t>FWS-R8-ES-2018-0105-0070_Att1.pdf</t>
  </si>
  <si>
    <t>FOIA-FWS-2020-00724-0001376</t>
  </si>
  <si>
    <t>FWS-R8-ES-2018-0105-0070_Att2.pdf</t>
  </si>
  <si>
    <t>FOIA-FWS-2020-00724-0001377</t>
  </si>
  <si>
    <t>Mourad Gabriel</t>
  </si>
  <si>
    <t>Sawyer, Susan; Finley, Laura; Grizzle, Betty</t>
  </si>
  <si>
    <t>[EXTERNAL] IERC Comments: FISHER AR</t>
  </si>
  <si>
    <t>Gabriel and Wengert - Comment on Fisher Listing to USFWS.pdf</t>
  </si>
  <si>
    <t>FOIA-FWS-2020-00724-0001379</t>
  </si>
  <si>
    <t>Sawyer, Sarah C -FS</t>
  </si>
  <si>
    <t>Re: [EXTERNAL] USFS R5 comments on proposed fisher rule</t>
  </si>
  <si>
    <t>FOIA-FWS-2020-00724-0001380</t>
  </si>
  <si>
    <t>FOIA-FWS-2020-00724-0001381</t>
  </si>
  <si>
    <t>Re: [EXTERNAL] RE: submitting information in April for fisher decision making process</t>
  </si>
  <si>
    <t>FOIA-FWS-2020-00724-0001382</t>
  </si>
  <si>
    <t>Crowell, Heidi; Willy, Elizabeth; Finley, Laura; Drake, Madeline K; Hull, Josh; Russell, Daniel</t>
  </si>
  <si>
    <t>RE: FYI---Fisher RTM earlier vs later</t>
  </si>
  <si>
    <t>FOIA-FWS-2020-00724-0001383</t>
  </si>
  <si>
    <t>Re: [EXTERNAL] IERC Comments: FISHER AR</t>
  </si>
  <si>
    <t>FOIA-FWS-2020-00724-0001384</t>
  </si>
  <si>
    <t>Susan Britting</t>
  </si>
  <si>
    <t>[EXTERNAL] More - Re: stuff  The links in this email string all work.</t>
  </si>
  <si>
    <t>FOIA-FWS-2020-00724-0001385</t>
  </si>
  <si>
    <t>[EXTERNAL] Another  The link in this email still works.</t>
  </si>
  <si>
    <t>Kordosky_SS FisherWorkingGroupFeb2019 with pop up notes.pdf</t>
  </si>
  <si>
    <t>FOIA-FWS-2020-00724-0001387</t>
  </si>
  <si>
    <t>Ericson, Jenny; Glenne, Gina; Carey, Robert L; Galloway, Shaughn L</t>
  </si>
  <si>
    <t>Capacity and Fuels Reduction The links in this emails all work.</t>
  </si>
  <si>
    <t>FOIA-FWS-2020-00724-0001388</t>
  </si>
  <si>
    <t>[EXTERNAL] CAL FIRE report on wildfire  The workforcenow link requires a password and is no longer accessible.</t>
  </si>
  <si>
    <t>FOIA-FWS-2020-00724-0001389</t>
  </si>
  <si>
    <t>USDA tree mortality map 2015-2018.pdf</t>
  </si>
  <si>
    <t>FOIA-FWS-2020-00724-0001390</t>
  </si>
  <si>
    <t>SFI 2015-2019_Forest Mgt Standard.pdf</t>
  </si>
  <si>
    <t>FOIA-FWS-2020-00724-0001391</t>
  </si>
  <si>
    <t>Finley, Laura; Livingston, Sue; Drake, Madeline K</t>
  </si>
  <si>
    <t>tree mortality in CA  The links in this email do not work. This link does work: https://www.fire.ca.gov/media/5120/2018-catreemortalitynumbersjointrelease_020519.pdf</t>
  </si>
  <si>
    <t>FOIA-FWS-2020-00724-0001392</t>
  </si>
  <si>
    <t>Finley, Laura; Willy, Elizabeth</t>
  </si>
  <si>
    <t>RE: tree mortality in CA   The links in this email do not work. This link does work: https://www.fire.ca.gov/media/5120/2018-catreemortalitynumbersjointrelease_020519.pdf
The report being discussed is here: https://www.fire.ca.gov/media/5584/45-day-report-final.pdf</t>
  </si>
  <si>
    <t>FOIA-FWS-2020-00724-0001393</t>
  </si>
  <si>
    <t>RE: vegetation mgmt question</t>
  </si>
  <si>
    <t>FOIA-FWS-2020-00724-0001394</t>
  </si>
  <si>
    <t>Re: [EXTERNAL] extension - fisher comment period April 4?</t>
  </si>
  <si>
    <t>FOIA-FWS-2020-00724-0001395</t>
  </si>
  <si>
    <t>[EXTERNAL] Hoopa den ms</t>
  </si>
  <si>
    <t>Matthews et al Hoopa den mnanuscript 20181220.pdf</t>
  </si>
  <si>
    <t>FOIA-FWS-2020-00724-0001397</t>
  </si>
  <si>
    <t>RE: draft extension rationale</t>
  </si>
  <si>
    <t>20190306_Fisher Commenters Extension Requests and Ongoing Research.docx</t>
  </si>
  <si>
    <t>FOIA-FWS-2020-00724-0001399</t>
  </si>
  <si>
    <t>fisher habitat model</t>
  </si>
  <si>
    <t>fisher habitat model questions.pdf</t>
  </si>
  <si>
    <t>fisher model methods.pdf</t>
  </si>
  <si>
    <t>FOIA-FWS-2020-00724-0001402</t>
  </si>
  <si>
    <t>Re: question on fisher references</t>
  </si>
  <si>
    <t>FOIA-FWS-2020-00724-0001403</t>
  </si>
  <si>
    <t>RE: draft extension rationale  The regulations.gov link in the email is referring to https://www.regulations.gov/docket/FWS-R8-ES-2018-0105</t>
  </si>
  <si>
    <t>FOIA-FWS-2020-00724-0001404</t>
  </si>
  <si>
    <t>FOIA-FWS-2020-00724-0001405</t>
  </si>
  <si>
    <t>Green, David S</t>
  </si>
  <si>
    <t>RE: [EXTERNAL] Fisher information</t>
  </si>
  <si>
    <t>FOIA-FWS-2020-00724-0001406</t>
  </si>
  <si>
    <t>Bell, Gary W (DFW)</t>
  </si>
  <si>
    <t>Susewind, Kelly (DFW); eric.gardner@dfw.wa.gov; Cope, Mick G (DFW); Davis, Jeffrey P (DFW); Carlson, Margen L (DFW); Rentz, Terra A (DFW); Conklin, Christopher L (DFW); Becker, Penny A (DFW); Cotten, Taylor B (DFW); Anderson, Hannah E (DFW); Lewis, Jeff C (DFW); Gorrell, Janet V (DFW)</t>
  </si>
  <si>
    <t>Fisher CCAA Update Letter Sent to CCAA Enrollees</t>
  </si>
  <si>
    <t>Fisher CCAA FAQ_March 2019_DRAFT.docx</t>
  </si>
  <si>
    <t>Fisher CCAA Implementation Update March 2019_FINAL.docx</t>
  </si>
  <si>
    <t>fishers_factsheet_06mar2019.pdf</t>
  </si>
  <si>
    <t>FOIA-FWS-2020-00724-0001410</t>
  </si>
  <si>
    <t>USDA FS PSWR 2019-0307.pdf</t>
  </si>
  <si>
    <t>FOIA-FWS-2020-00724-0001411</t>
  </si>
  <si>
    <t>FOIA-FWS-2020-00724-0001412</t>
  </si>
  <si>
    <t>FOIA-FWS-2020-00724-0001413</t>
  </si>
  <si>
    <t>FOIA-FWS-2020-00724-0001414</t>
  </si>
  <si>
    <t>FOIA-FWS-2020-00724-0001415</t>
  </si>
  <si>
    <t>Re: draft extension rationale</t>
  </si>
  <si>
    <t>FOIA-FWS-2020-00724-0001416</t>
  </si>
  <si>
    <t>Finley, Laura; Facka, Aaron</t>
  </si>
  <si>
    <t xml:space="preserve"> Re: Stirling Final report and other analysis</t>
  </si>
  <si>
    <t>Annual Report 2016 2019-03-02 Final.pdf</t>
  </si>
  <si>
    <t>FOIA-FWS-2020-00724-0001418</t>
  </si>
  <si>
    <t>FOIA-FWS-2020-00724-0001419</t>
  </si>
  <si>
    <t>Finley, Laura; RogerPowell</t>
  </si>
  <si>
    <t>Re: Stirling Final report and other analysis</t>
  </si>
  <si>
    <t>FOIA-FWS-2020-00724-0001420</t>
  </si>
  <si>
    <t>Wayne Spencer</t>
  </si>
  <si>
    <t>Re: [EXTERNAL] Re: Approaching fisher info deadlines</t>
  </si>
  <si>
    <t>FOIA-FWS-2020-00724-0001421</t>
  </si>
  <si>
    <t>Re: Fisher threats review--done with 3, working on 1 more</t>
  </si>
  <si>
    <t>FOIA-FWS-2020-00724-0001422</t>
  </si>
  <si>
    <t>Finley, Laura; Eyes, Stephanie A; Esther.Burkett@wildlife.ca.gov</t>
  </si>
  <si>
    <t>[EXTERNAL] Fisher fire draft manuscript</t>
  </si>
  <si>
    <t>GreenEtAl_FisherFireManuscript.pdf</t>
  </si>
  <si>
    <t>FOIA-FWS-2020-00724-0001424</t>
  </si>
  <si>
    <t>TWS presentations regarding fisher</t>
  </si>
  <si>
    <t>FOIA-FWS-2020-00724-0001425</t>
  </si>
  <si>
    <t xml:space="preserve">Re: Invitation: HOLD Fisher RTM @ Tue Mar 19, 2019 9am - 12pm (PDT) </t>
  </si>
  <si>
    <t>FOIA-FWS-2020-00724-0001426</t>
  </si>
  <si>
    <t>Fisher---wildfire burn severity work that Betty Grizzle started</t>
  </si>
  <si>
    <t>High Burn Severity_cumulative table.xlsx</t>
  </si>
  <si>
    <t>FOIA-FWS-2020-00724-0001428</t>
  </si>
  <si>
    <t>SmithTessa_2019_UtahStateUniversity_ListingOpinion&amp;Fisher&amp;FuelsTreatmentsAbstractFromMSThesis_AshlandOR.pdf</t>
  </si>
  <si>
    <t>FOIA-FWS-2020-00724-0001429</t>
  </si>
  <si>
    <t>Burn_Sev_2008.pdf</t>
  </si>
  <si>
    <t>FOIA-FWS-2020-00724-0001430</t>
  </si>
  <si>
    <t>Finley, Laura; Green, David S</t>
  </si>
  <si>
    <t>RE: \[EXTERNAL\] Fisher fire draft manuscript</t>
  </si>
  <si>
    <t>FOIA-FWS-2020-00724-0001431</t>
  </si>
  <si>
    <t>Tessa Smith</t>
  </si>
  <si>
    <t>FWS listing-DPS fisher</t>
  </si>
  <si>
    <t>FWS_listing.docx</t>
  </si>
  <si>
    <t>FOIA-FWS-2020-00724-0001433</t>
  </si>
  <si>
    <t>RE: Fisher legal status</t>
  </si>
  <si>
    <t>FOIA-FWS-2020-00724-0001434</t>
  </si>
  <si>
    <t>20200311_fisher_BP.pdf</t>
  </si>
  <si>
    <t>FOIA-FWS-2020-00724-0001435</t>
  </si>
  <si>
    <t>Re: fisher--disease and predation threat updated</t>
  </si>
  <si>
    <t>FOIA-FWS-2020-00724-0001436</t>
  </si>
  <si>
    <t>Re: Question about Betty's synthesis</t>
  </si>
  <si>
    <t>FOIA-FWS-2020-00724-0001437</t>
  </si>
  <si>
    <t>Thomas, Jody A -FS</t>
  </si>
  <si>
    <t>Clayton, Dave -FS; Galloway, Shaughn L</t>
  </si>
  <si>
    <t>RE: 2018 RAVG Data</t>
  </si>
  <si>
    <t>FOIA-FWS-2020-00724-0001438</t>
  </si>
  <si>
    <t>Re: Threat Table to Update</t>
  </si>
  <si>
    <t>FOIA-FWS-2020-00724-0001439</t>
  </si>
  <si>
    <t>draft attached</t>
  </si>
  <si>
    <t>20190312 Peidng Fisher Research.docx</t>
  </si>
  <si>
    <t>FOIA-FWS-2020-00724-0001441</t>
  </si>
  <si>
    <t>fisher research</t>
  </si>
  <si>
    <t>20190312 Peidng Fisher Research gg.docx</t>
  </si>
  <si>
    <t>FOIA-FWS-2020-00724-0001443</t>
  </si>
  <si>
    <t>Next version</t>
  </si>
  <si>
    <t>20190312 Pending Fisher Research gg lf.docx</t>
  </si>
  <si>
    <t>FOIA-FWS-2020-00724-0001445</t>
  </si>
  <si>
    <t>Finley, Laura; Ericson, Jenny</t>
  </si>
  <si>
    <t>fisher research for our 11:30</t>
  </si>
  <si>
    <t>20190312 Pending Fisher Research.docx</t>
  </si>
  <si>
    <t>FOIA-FWS-2020-00724-0001447</t>
  </si>
  <si>
    <t>Glenne, Gina; Ericson, Jenny</t>
  </si>
  <si>
    <t>final version before call</t>
  </si>
  <si>
    <t>20190312 Pending Fisher Research_final.docx</t>
  </si>
  <si>
    <t>FOIA-FWS-2020-00724-0001449</t>
  </si>
  <si>
    <t>Russell, Daniel; Senn, Michael J</t>
  </si>
  <si>
    <t>fisher discussion</t>
  </si>
  <si>
    <t>20190312 Pending Fisher Research_final1.docx</t>
  </si>
  <si>
    <t>FOIA-FWS-2020-00724-0001452</t>
  </si>
  <si>
    <t>threats conclusion language---suggestions for this afternoon call?</t>
  </si>
  <si>
    <t>FOIA-FWS-2020-00724-0001453</t>
  </si>
  <si>
    <t>Re: Most Recent Fisher NSN Report</t>
  </si>
  <si>
    <t>FOIA-FWS-2020-00724-0001454</t>
  </si>
  <si>
    <t>Finley, Laura; Drake, Madeline K</t>
  </si>
  <si>
    <t>habitat change in southern Sierra</t>
  </si>
  <si>
    <t>Spence, Wayne Etal</t>
  </si>
  <si>
    <t>Spencer_etal_2016_Sierra_Fisher_Strategy_V1.0.pdf</t>
  </si>
  <si>
    <t>FOIA-FWS-2020-00724-0001456</t>
  </si>
  <si>
    <t>re: fisher trends information you put in the table</t>
  </si>
  <si>
    <t>FOIA-FWS-2020-00724-0001457</t>
  </si>
  <si>
    <t>Beach layia rule updated...awaiting Laurel edits</t>
  </si>
  <si>
    <t>FOIA-FWS-2020-00724-0001458</t>
  </si>
  <si>
    <t>vegetation management</t>
  </si>
  <si>
    <t>Threats Handout_Template--VEG-MGMT.docx</t>
  </si>
  <si>
    <t>FOIA-FWS-2020-00724-0001460</t>
  </si>
  <si>
    <t>[EXTERNAL] RE: A little AR data for SW Oregon</t>
  </si>
  <si>
    <t>MarijuanaLicenses_approved jackson county 2019.pdf</t>
  </si>
  <si>
    <t>FOIA-FWS-2020-00724-0001462</t>
  </si>
  <si>
    <t>pending fisher research</t>
  </si>
  <si>
    <t>20190312 Pending Fisher Research_threat.docx</t>
  </si>
  <si>
    <t>Pending Fisher Research.docx</t>
  </si>
  <si>
    <t>FOIA-FWS-2020-00724-0001465</t>
  </si>
  <si>
    <t>20190314_Threats.docx.pdf</t>
  </si>
  <si>
    <t>FOIA-FWS-2020-00724-0001466</t>
  </si>
  <si>
    <t>RE: pending fisher research</t>
  </si>
  <si>
    <t>FOIA-FWS-2020-00724-0001467</t>
  </si>
  <si>
    <t>Chapman, Joshua L -FS; Chatel, John C -FS; Caruthers, Robert -FS; Finley, Laura</t>
  </si>
  <si>
    <t>[EXTERNAL] RE: IERC NEW Rodenticide Fisher Data: USFWS Public Comment  The link in this email works.</t>
  </si>
  <si>
    <t>FOIA-FWS-2020-00724-0001469</t>
  </si>
  <si>
    <t>Pending fisher research</t>
  </si>
  <si>
    <t>FOIA-FWS-2020-00724-0001472</t>
  </si>
  <si>
    <t>Re: due date at noon</t>
  </si>
  <si>
    <t>Trends and SMPop.docx</t>
  </si>
  <si>
    <t>FOIA-FWS-2020-00724-0001474</t>
  </si>
  <si>
    <t>Toxicant Handout</t>
  </si>
  <si>
    <t>Toxicant Handout_20190314_1300.docx</t>
  </si>
  <si>
    <t>FOIA-FWS-2020-00724-0001476</t>
  </si>
  <si>
    <t>Trends and SMPop_LLF.docx</t>
  </si>
  <si>
    <t>FOIA-FWS-2020-00724-0001478</t>
  </si>
  <si>
    <t>FOIA-FWS-2020-00724-0001479</t>
  </si>
  <si>
    <t>Fwd: Fire Handout attached</t>
  </si>
  <si>
    <t>Threats Handout_Wildfire 20190314_1520.docx</t>
  </si>
  <si>
    <t>FOIA-FWS-2020-00724-0001481</t>
  </si>
  <si>
    <t>Re: Fire Handout attached</t>
  </si>
  <si>
    <t>FOIA-FWS-2020-00724-0001482</t>
  </si>
  <si>
    <t>Fris, Michael; Blake, Daniel; Russell, Daniel; Willy, Elizabeth; Norris, Jennifer; Ericson, Jenny; Hull, Josh; Garner, Kim; Finley, Laura; Drake, Madeline K; Long, Michael J; Senn, Michael J; Livingston, Sue; Thrailkill, Jim; Henson, Paul; White, Rollie; Thompson, Brad; Everson, Dan; Glenne, Gina; Holzworth, Jody K; Hershey, Kit; Souza, Paul; O'Hara, Kerry</t>
  </si>
  <si>
    <t>FISHER DPS Prep---Material for review prior to nxt Tues 3/19/2019 RTM</t>
  </si>
  <si>
    <t>20190314_Threats.pdf</t>
  </si>
  <si>
    <t>FOIA-FWS-2020-00724-0001484</t>
  </si>
  <si>
    <t xml:space="preserve">Re: [EXTERNAL] More information on fuels treatments - CAL FIRE report  The link in the email is no longer functioning. It is likely it went to a site similar to this:  https://www.fire.ca.gov/about-us/45-day-report/
</t>
  </si>
  <si>
    <t>FOIA-FWS-2020-00724-0001485</t>
  </si>
  <si>
    <t>Final Draft</t>
  </si>
  <si>
    <t>Estimates of Population Size for Proposed fisher DPS.docx</t>
  </si>
  <si>
    <t>FOIA-FWS-2020-00724-0001487</t>
  </si>
  <si>
    <t>RE: Final Draft</t>
  </si>
  <si>
    <t>Estimates of Population Size for Proposed fisher DPS gg back.docx</t>
  </si>
  <si>
    <t>FOIA-FWS-2020-00724-0001489</t>
  </si>
  <si>
    <t>Fisher Habitat Change Map</t>
  </si>
  <si>
    <t>Change_Fisher_Hab_Wildfire_2007-2018.jpg</t>
  </si>
  <si>
    <t>FOIA-FWS-2020-00724-0001491</t>
  </si>
  <si>
    <t>Fris, Michael; Blake, Daniel; Russell, Daniel; Willy, Elizabeth; Norris, Jennifer; Ericson, Jenny; Hull, Josh; Garner, Kim; Finley, Laura; Drake, Madeline K; Long, Michael J; Senn, Michael J; Livingston, Sue; Thrailkill, Jim; Henson, Paul; White, Rollie; Thompson, Brad; Everson, Dan; Glenne, Gina; Holzworth, Jody K; Hershey, Kit; Souza, Paul; O'Hara, Kerry; Crowell, Heidi</t>
  </si>
  <si>
    <t>FISHER DPS RTM Prep Fisher Population and Wildfire information</t>
  </si>
  <si>
    <t>Fisher RTM wildlife maps 2007-2018.jpg</t>
  </si>
  <si>
    <t>FOIA-FWS-2020-00724-0001494</t>
  </si>
  <si>
    <t>Fisher RTM wildlife maps 2007-2018.pdf</t>
  </si>
  <si>
    <t>FOIA-FWS-2020-00724-0001495</t>
  </si>
  <si>
    <t>Draft Tox for Proposed fisher DPS.pdf</t>
  </si>
  <si>
    <t>FOIA-FWS-2020-00724-0001496</t>
  </si>
  <si>
    <t>PublicComment.zip</t>
  </si>
  <si>
    <t>FOIA-FWS-2020-00724-0001497</t>
  </si>
  <si>
    <t>Re: [EXTERNAL] Re: IERC NEW Rodenticide Fisher Data: USFWS Public Comment The link in this email works.</t>
  </si>
  <si>
    <t>FOIA-FWS-2020-00724-0001498</t>
  </si>
  <si>
    <t>McDowell, Tom; Radmer, Zachary</t>
  </si>
  <si>
    <t>Fwd: Fisher call tomorrow?</t>
  </si>
  <si>
    <t>FOIA-FWS-2020-00724-0001499</t>
  </si>
  <si>
    <t>Re: FW: FISHER DPS Prep---Material for review prior to nxt Tues 3/19/2019 RTM</t>
  </si>
  <si>
    <t>FOIA-FWS-2020-00724-0001500</t>
  </si>
  <si>
    <t>Re: FISHER DPS RTM Prep Fisher Population and Wildfire information</t>
  </si>
  <si>
    <t>FOIA-FWS-2020-00724-0001501</t>
  </si>
  <si>
    <t>What do you think?</t>
  </si>
  <si>
    <t>Fisher bio for 2019 RTM.pdf</t>
  </si>
  <si>
    <t>Fisher_Conservation_Strategy_Author_Statement_March_2017.pdf</t>
  </si>
  <si>
    <t>FOIA-FWS-2020-00724-0001504</t>
  </si>
  <si>
    <t>Finley, Laura; Aaron Facka; Matthews, Sean; David S. Green; Ed Murphy; Pete Figura; Deana Clifford; Kevin Smith</t>
  </si>
  <si>
    <t>[EXTERNAL] DRAFT Final Report 2017 on the fisher reintroduction</t>
  </si>
  <si>
    <t>DRAFT FINAL Report 2017 with appendices 2019-03-18.pdf</t>
  </si>
  <si>
    <t>FOIA-FWS-2020-00724-0001506</t>
  </si>
  <si>
    <t>20190319_Fisher RTM MeetingNotes.pdf</t>
  </si>
  <si>
    <t>FOIA-FWS-2020-00724-0001507</t>
  </si>
  <si>
    <t>Draft AGENDA.pdf</t>
  </si>
  <si>
    <t>FOIA-FWS-2020-00724-0001508</t>
  </si>
  <si>
    <t>Re: What do you think?</t>
  </si>
  <si>
    <t>Fisher bio for 2019 RTM.ppt</t>
  </si>
  <si>
    <t>FOIA-FWS-2020-00724-0001510</t>
  </si>
  <si>
    <t>RE: What do you think?</t>
  </si>
  <si>
    <t>Fisher bio for 2019 RTM gg.ppt</t>
  </si>
  <si>
    <t>FOIA-FWS-2020-00724-0001512</t>
  </si>
  <si>
    <t>FOIA-FWS-2020-00724-0001513</t>
  </si>
  <si>
    <t>Basic fisher bio info</t>
  </si>
  <si>
    <t>FOIA-FWS-2020-00724-0001515</t>
  </si>
  <si>
    <t>[EXTERNAL] Draft final report no appendices</t>
  </si>
  <si>
    <t>DRAFT FINAL Report 2017 no appendices 2019-03-18.pdf</t>
  </si>
  <si>
    <t>FOIA-FWS-2020-00724-0001517</t>
  </si>
  <si>
    <t>Blake, Daniel; Willy, Elizabeth; Ericson, Jenny; Kanim, Nadine; Finley, Laura; Henson, Paul; Livingston, Sue; Thrailkill, Jim; Thompson, Brad; Radmer, Zachary; Everson, Dan; Drake, Madeline K; Norris, Jennifer; Crowell, Heidi; Hull, Josh; Garner, Kim</t>
  </si>
  <si>
    <t>Agenda for Fisher RTM this Moring</t>
  </si>
  <si>
    <t>Draft AGENDA.docx</t>
  </si>
  <si>
    <t>FOIA-FWS-2020-00724-0001519</t>
  </si>
  <si>
    <t>Re: Important Materials to review--prep for Fisher DPS Meeting 2/28/2019</t>
  </si>
  <si>
    <t>FOIA-FWS-2020-00724-0001520</t>
  </si>
  <si>
    <t>Call-in Number and Agenda for Fisher RTM this Morning</t>
  </si>
  <si>
    <t>FOIA-FWS-2020-00724-0001521</t>
  </si>
  <si>
    <t>Drake, Madeline K; Willy, Elizabeth; Finley, Laura; Russell, Daniel; Livingston, Sue; Hull, Josh</t>
  </si>
  <si>
    <t xml:space="preserve">Invitation: Fisher Team Call @ Wed Mar 20, 2019 11:30am - 12pm (PDT) </t>
  </si>
  <si>
    <t>heidi_crowell@fws.gov;madeline_drake@fws.gov;elizabeth_willy@fws.gov;laura_finley@fws.gov;daniel_russell@fws.gov;sue_livingston@fws.gov;josh_hull@fws.gov</t>
  </si>
  <si>
    <t>FOIA-FWS-2020-00724-0001523</t>
  </si>
  <si>
    <t>fisher--possible agenda topic?</t>
  </si>
  <si>
    <t>FOIA-FWS-2020-00724-0001524</t>
  </si>
  <si>
    <t>RE: Agenda for Fisher RTM this Moring</t>
  </si>
  <si>
    <t>FOIA-FWS-2020-00724-0001525</t>
  </si>
  <si>
    <t>Garner, Kim; Henson, Paul</t>
  </si>
  <si>
    <t>RE: Can we chat Fisher?</t>
  </si>
  <si>
    <t>FOIA-FWS-2020-00724-0001526</t>
  </si>
  <si>
    <t>Re: DUE: March 27 - Follow Up from Fisher meeting</t>
  </si>
  <si>
    <t>Implementation Plan_Fire MOU (October 26 2018) (2).pdf</t>
  </si>
  <si>
    <t>LNF_fuelbreak.compressed.pdf</t>
  </si>
  <si>
    <t>PNF_fuelbreak.compressed.pdf</t>
  </si>
  <si>
    <t>Signed Fire MOU.pdf</t>
  </si>
  <si>
    <t>FOIA-FWS-2020-00724-0001531</t>
  </si>
  <si>
    <t>Finley, Laura; Crowell, Heidi</t>
  </si>
  <si>
    <t>RE: DUE: March 27 - Follow Up from Fisher meeting</t>
  </si>
  <si>
    <t>FOIA-FWS-2020-00724-0001532</t>
  </si>
  <si>
    <t>[EXTERNAL] RE: avaliable funds from the state for trespass grow site cleanup?</t>
  </si>
  <si>
    <t>FOIA-FWS-2020-00724-0001533</t>
  </si>
  <si>
    <t>Finley, Laura; Matthews, Sean Michael</t>
  </si>
  <si>
    <t>[EXTERNAL] RE: Just Curious</t>
  </si>
  <si>
    <t>FOIA-FWS-2020-00724-0001534</t>
  </si>
  <si>
    <t>[EXTERNAL] FW: Story  The link in this email still works.</t>
  </si>
  <si>
    <t>FOIA-FWS-2020-00724-0001535</t>
  </si>
  <si>
    <t>[EXTERNAL] FW: West Coast Fisher DPS</t>
  </si>
  <si>
    <t>Data for recreational grows in Oregon.docx</t>
  </si>
  <si>
    <t>GRETA IERC</t>
  </si>
  <si>
    <t>IERC NEW Rodenticide Fisher Data: USFWS Public Comment</t>
  </si>
  <si>
    <t>Letter describing Region Six tresspass growm monitoring for 2019.docx</t>
  </si>
  <si>
    <t>Clayton, Dave -FS; Greta Wengert</t>
  </si>
  <si>
    <t>Re: Fwd: FW: Potential FY18 NFWF Funding for Projects</t>
  </si>
  <si>
    <t>R6 site assesment.docx</t>
  </si>
  <si>
    <t>Clayton, Dave -FS; tmasters@iercecology.org; Cpierce@iercecology.org; GRETA IERC</t>
  </si>
  <si>
    <t>USFS Contact: OR Visits Grow Sites</t>
  </si>
  <si>
    <t>FOIA-FWS-2020-00724-0001545</t>
  </si>
  <si>
    <t>FW: Revised numbers for old-forest habitat trends in NCSO</t>
  </si>
  <si>
    <t>Revised_OGSI_analysis.docx</t>
  </si>
  <si>
    <t>Tables6-7_Davis_etal_2015_for2019fisher.xlsx</t>
  </si>
  <si>
    <t>FOIA-FWS-2020-00724-0001548</t>
  </si>
  <si>
    <t>FW: DUE: March 27 - Follow Up from Fisher meeting</t>
  </si>
  <si>
    <t>FOIA-FWS-2020-00724-0001549</t>
  </si>
  <si>
    <t>FOIA-FWS-2020-00724-0001550</t>
  </si>
  <si>
    <t>MarijuanaLicenses_approved.pdf</t>
  </si>
  <si>
    <t>FOIA-FWS-2020-00724-0001551</t>
  </si>
  <si>
    <t>edart2.9_Product User Guide_2019-03-26.pdf</t>
  </si>
  <si>
    <t>FOIA-FWS-2020-00724-0001552</t>
  </si>
  <si>
    <t>Livingston, Sue; Drake, Madeline K; Hull, Josh; Willy, Elizabeth; Finley, Laura; Russell, Daniel</t>
  </si>
  <si>
    <t>Existing Regulatory and Voluntary Conservation Mechanisms</t>
  </si>
  <si>
    <t>FOIA-FWS-2020-00724-0001553</t>
  </si>
  <si>
    <t>Re: New comments that are out of my area of expertise</t>
  </si>
  <si>
    <t>FOIA-FWS-2020-00724-0001554</t>
  </si>
  <si>
    <t>Re: FW: Revised numbers for old-forest habitat trends in NCSO</t>
  </si>
  <si>
    <t>FOIA-FWS-2020-00724-0001555</t>
  </si>
  <si>
    <t>RE: New comments that are out of my area of expertise</t>
  </si>
  <si>
    <t>FOIA-FWS-2020-00724-0001556</t>
  </si>
  <si>
    <t>Disease_Predation_FRdocDRAFTtext.pdf</t>
  </si>
  <si>
    <t>FOIA-FWS-2020-00724-0001557</t>
  </si>
  <si>
    <t>Fwd: Willow Creek (Franklin) 2018 Final report</t>
  </si>
  <si>
    <t>Franklin, Alan B. Etal</t>
  </si>
  <si>
    <t>NSO Project Annual Report 2018.pdf</t>
  </si>
  <si>
    <t>FOIA-FWS-2020-00724-0001559</t>
  </si>
  <si>
    <t>2017_MOU_Fuels_Reduction_Extension_Amendment_#01.pdf</t>
  </si>
  <si>
    <t>FOIA-FWS-2020-00724-0001560</t>
  </si>
  <si>
    <t>2019_MOU_Fuels_Reduction_USFS,_NFWF,_CAL_FIRE,_CFLs.pdf</t>
  </si>
  <si>
    <t>FOIA-FWS-2020-00724-0001561</t>
  </si>
  <si>
    <t>COMTF 2019.pdf</t>
  </si>
  <si>
    <t>FOIA-FWS-2020-00724-0001562</t>
  </si>
  <si>
    <t>Fisher Boundary</t>
  </si>
  <si>
    <t>OR_Fisher_DPS_Boundary.dbf</t>
  </si>
  <si>
    <t>OR_Fisher_DPS_Boundary.prj</t>
  </si>
  <si>
    <t>OR_Fisher_DPS_Boundary.sbn</t>
  </si>
  <si>
    <t>OR_Fisher_DPS_Boundary.sbx</t>
  </si>
  <si>
    <t>OR_Fisher_DPS_Boundary.shp</t>
  </si>
  <si>
    <t>OR_Fisher_DPS_Boundary.shp.xml</t>
  </si>
  <si>
    <t>OR_Fisher_DPS_Boundary.shx</t>
  </si>
  <si>
    <t>FOIA-FWS-2020-00724-0001570</t>
  </si>
  <si>
    <t>Blake, Daniel; Ericson, Jenny; Glenne, Gina; Norris, Jennifer; Crowell, Heidi; Russell, Daniel; Everson, Dan; Norris, Jennifer L; Livingston, Sue; Norman, Kate; Henson, Paul</t>
  </si>
  <si>
    <t>Call to discuss fisher recommendation</t>
  </si>
  <si>
    <t>FOIA-FWS-2020-00724-0001571</t>
  </si>
  <si>
    <t>RE: Last Chance Grade Caltrans project</t>
  </si>
  <si>
    <t>FOIA-FWS-2020-00724-0001572</t>
  </si>
  <si>
    <t>FOIA-FWS-2020-00724-0001573</t>
  </si>
  <si>
    <t>Russell, Daniel; Livingston, Sue; Norris, Jennifer; Long, Michael J; Ericson, Jenny; Everson, Dan; Norris, Jennifer L; Norman, Kate; Drake, Madeline K; Hull, Josh; Senn, Michael J; Blake, Daniel; Crowell, Heidi; Glenne, Gina</t>
  </si>
  <si>
    <t>Updated invitation: Fisher Meeting @ Thu Apr 4, 2019 9am - 10am (PDT) (gina_glenne@fws.gov)</t>
  </si>
  <si>
    <t>daniel_russell@fws.gov;sue_livingston@fws.gov;jennifer_norris@fws.gov;michael_long@fws.gov;jenny_ericson@fws.gov;dan_everson@fws.gov;jennifer_l_norris@fws.gov;kate_norman@fws.gov;madeline_drake@fws.gov;josh_hull@fws.gov;michael_senn@fws.gov;daniel_blake@fws.gov;heidi_crowell@fws.gov;sherry_byers@fws.gov;gina_glenne@fws.gov;michael_fris@fws.gov</t>
  </si>
  <si>
    <t>Fisher Meeting</t>
  </si>
  <si>
    <t>FOIA-FWS-2020-00724-0001575</t>
  </si>
  <si>
    <t>DRIVE_Comments to Update.pdf</t>
  </si>
  <si>
    <t>FOIA-FWS-2020-00724-0001576</t>
  </si>
  <si>
    <t>fisher comment question</t>
  </si>
  <si>
    <t>FOIA-FWS-2020-00724-0001577</t>
  </si>
  <si>
    <t>Fisher---additional tasks ahead</t>
  </si>
  <si>
    <t>FOIA-FWS-2020-00724-0001578</t>
  </si>
  <si>
    <t>QUICK QUESTION---am I missing anything for this section of the fisher rule?</t>
  </si>
  <si>
    <t>FOIA-FWS-2020-00724-0001579</t>
  </si>
  <si>
    <t>Re: fisher comment question</t>
  </si>
  <si>
    <t>FOIA-FWS-2020-00724-0001580</t>
  </si>
  <si>
    <t>my fisher assignments</t>
  </si>
  <si>
    <t>Disease_Predation_FRdocDRAFTtext.docx</t>
  </si>
  <si>
    <t>DRIVE_Comments to Update.docx</t>
  </si>
  <si>
    <t>Veg_Mgmt_FRdocDraftText.docx</t>
  </si>
  <si>
    <t>FOIA-FWS-2020-00724-0001584</t>
  </si>
  <si>
    <t>TOX LF FRdocDraftText 4_4_2019(1).pdf</t>
  </si>
  <si>
    <t>FOIA-FWS-2020-00724-0001585</t>
  </si>
  <si>
    <t>20190404_Meeting Notes_r1-R8 Recommendation Message.pdf</t>
  </si>
  <si>
    <t>FOIA-FWS-2020-00724-0001586</t>
  </si>
  <si>
    <t>Roessler, Arnold; Hutchinson, Jenny L</t>
  </si>
  <si>
    <t>IMPORTANT---need info on comments received on marten proposed 4(d)</t>
  </si>
  <si>
    <t>FOIA-FWS-2020-00724-0001587</t>
  </si>
  <si>
    <t>Fire LF FRdocDraftText 4_5_2019.pdf</t>
  </si>
  <si>
    <t>FOIA-FWS-2020-00724-0001588</t>
  </si>
  <si>
    <t>RE: IMPORTANT--Fisher work for FR document</t>
  </si>
  <si>
    <t>FOIA-FWS-2020-00724-0001589</t>
  </si>
  <si>
    <t>RE: [EXTERNAL] checking in</t>
  </si>
  <si>
    <t>FOIA-FWS-2020-00724-0001590</t>
  </si>
  <si>
    <t>Re: IMPORTANT--Fisher work for FR document</t>
  </si>
  <si>
    <t>FOIA-FWS-2020-00724-0001591</t>
  </si>
  <si>
    <t>FOIA-FWS-2020-00724-0001592</t>
  </si>
  <si>
    <t>Re: Wildfire-a new conversation thread.</t>
  </si>
  <si>
    <t>FOIA-FWS-2020-00724-0001593</t>
  </si>
  <si>
    <t>Eyes, Stephanie A; kpurcell@fs.fed.us; McGregor, Eric L; Sawyer, Sarah C -FS</t>
  </si>
  <si>
    <t>[EXTERNAL] brief update from KRFP related to tree mortality</t>
  </si>
  <si>
    <t>Green, Rebecca E. etal</t>
  </si>
  <si>
    <t>Kings River fisher project update related to tree mortality_Green_Purcell_McGregor_april2019.docx.pdf</t>
  </si>
  <si>
    <t>FOIA-FWS-2020-00724-0001595</t>
  </si>
  <si>
    <t>Eyes, Stephanie A; kpurcell@fs.fed.us; Sawyer, Sarah C -FS</t>
  </si>
  <si>
    <t>[EXTERNAL] recent KRFP related publication</t>
  </si>
  <si>
    <t>Green et al_2019_microsites and structures used by fishers.pdf</t>
  </si>
  <si>
    <t>FOIA-FWS-2020-00724-0001597</t>
  </si>
  <si>
    <t>19MU11052007028_NORTH spottedowl.pdf</t>
  </si>
  <si>
    <t>FOIA-FWS-2020-00724-0001598</t>
  </si>
  <si>
    <t>Madeline's Citations For Small Populations.pdf</t>
  </si>
  <si>
    <t>FOIA-FWS-2020-00724-0001599</t>
  </si>
  <si>
    <t>Hull, Josh; Drake, Madeline K; Willy, Elizabeth; Finley, Laura; Livingston, Sue; Russell, Daniel</t>
  </si>
  <si>
    <t>Fwd: new information uploaded to shared references drive for fisher</t>
  </si>
  <si>
    <t>Green_Purcell_McGregor_april2019_Kings River fisher project update related to tree mortality.docx.pdf</t>
  </si>
  <si>
    <t>FOIA-FWS-2020-00724-0001602</t>
  </si>
  <si>
    <t>Fisher--more new information forthcoming on native fisher in SOC</t>
  </si>
  <si>
    <t>FOIA-FWS-2020-00724-0001603</t>
  </si>
  <si>
    <t>BLM_W-OR_Proposed_RMP_FEIS_Volume_1.pdf</t>
  </si>
  <si>
    <t>FOIA-FWS-2020-00724-0001604</t>
  </si>
  <si>
    <t>Map_DRAFT_introgressed fisher_EWilly_20190409.pdf</t>
  </si>
  <si>
    <t>FOIA-FWS-2020-00724-0001605</t>
  </si>
  <si>
    <t>FOIA-FWS-2020-00724-0001606</t>
  </si>
  <si>
    <t>FOIA-FWS-2020-00724-0001607</t>
  </si>
  <si>
    <t>FOIA-FWS-2020-00724-0001608</t>
  </si>
  <si>
    <t>FOIA-FWS-2020-00724-0001609</t>
  </si>
  <si>
    <t>FOIA-FWS-2020-00724-0001610</t>
  </si>
  <si>
    <t>FOIA-FWS-2020-00724-0001611</t>
  </si>
  <si>
    <t>RE: Fisher--listing reintroduced fisher in SOC</t>
  </si>
  <si>
    <t>FOIA-FWS-2020-00724-0001612</t>
  </si>
  <si>
    <t>Livingston, Sue; Hull, Josh; Drake, Madeline K; Crowell, Heidi; Russell, Daniel; Finley, Laura</t>
  </si>
  <si>
    <t>FOIA-FWS-2020-00724-0001613</t>
  </si>
  <si>
    <t>predation and disease threat</t>
  </si>
  <si>
    <t>FOIA-FWS-2020-00724-0001615</t>
  </si>
  <si>
    <t>Re: Fisher--listing reintroduced fisher in SOC</t>
  </si>
  <si>
    <t>FOIA-FWS-2020-00724-0001616</t>
  </si>
  <si>
    <t>Hayner, Stephen G</t>
  </si>
  <si>
    <t>KFRA Native Fisher shapefiles</t>
  </si>
  <si>
    <t>F-4.dbf</t>
  </si>
  <si>
    <t>F-4.prj</t>
  </si>
  <si>
    <t>F-4.sbn</t>
  </si>
  <si>
    <t>F-4.sbx</t>
  </si>
  <si>
    <t>F-4.shp</t>
  </si>
  <si>
    <t>F-4.shx</t>
  </si>
  <si>
    <t>F05T.dbf</t>
  </si>
  <si>
    <t>F05T.prj</t>
  </si>
  <si>
    <t>F05T.sbn</t>
  </si>
  <si>
    <t>F05T.sbx</t>
  </si>
  <si>
    <t>F05T.shp</t>
  </si>
  <si>
    <t>F05T.shx</t>
  </si>
  <si>
    <t>F-9.dbf</t>
  </si>
  <si>
    <t>F-9.prj</t>
  </si>
  <si>
    <t>F-9.sbn</t>
  </si>
  <si>
    <t>F-9.sbx</t>
  </si>
  <si>
    <t>F-9.shp</t>
  </si>
  <si>
    <t>F-9.shx</t>
  </si>
  <si>
    <t>M03T.dbf</t>
  </si>
  <si>
    <t>M03T.prj</t>
  </si>
  <si>
    <t>M03T.sbn</t>
  </si>
  <si>
    <t>M03T.sbx</t>
  </si>
  <si>
    <t>M03T.shp</t>
  </si>
  <si>
    <t>M03T.shx</t>
  </si>
  <si>
    <t>ReportBLM_Klamath_Fisher samples 3_8_17.docx</t>
  </si>
  <si>
    <t>FOIA-FWS-2020-00724-0001642</t>
  </si>
  <si>
    <t>Crowell, Heidi; Finley, Laura; Livingston, Sue; Drake, Madeline K; Russell, Daniel; Hull, Josh</t>
  </si>
  <si>
    <t>draft map of introgressed fisher</t>
  </si>
  <si>
    <t>FOIA-FWS-2020-00724-0001643</t>
  </si>
  <si>
    <t>RE: fisher blurb for Washington</t>
  </si>
  <si>
    <t>FOIA-FWS-2020-00724-0001644</t>
  </si>
  <si>
    <t>Re: [EXTERNAL] recent KRFP related publication</t>
  </si>
  <si>
    <t>FOIA-FWS-2020-00724-0001645</t>
  </si>
  <si>
    <t>FOIA-FWS-2020-00724-0001646</t>
  </si>
  <si>
    <t>Re: Stella Project. The links in this email string all work.</t>
  </si>
  <si>
    <t>FOIA-FWS-2020-00724-0001647</t>
  </si>
  <si>
    <t>Re: [EXTERNAL] Fisher Reintroduction Final Report</t>
  </si>
  <si>
    <t>FOIA-FWS-2020-00724-0001648</t>
  </si>
  <si>
    <t>Katie Moriarty</t>
  </si>
  <si>
    <t>[EXTERNAL] Fisher report - Oregon Cascades</t>
  </si>
  <si>
    <t>MoriartyBuskirkBarry_FisherCascadeEstimate_draft_190410.docx</t>
  </si>
  <si>
    <t>FOIA-FWS-2020-00724-0001650</t>
  </si>
  <si>
    <t>0064_MapAttachment_12_K_sequoiaforestkeeper.pdf</t>
  </si>
  <si>
    <t>FOIA-FWS-2020-00724-0001651</t>
  </si>
  <si>
    <t>Fire LF FRdocFinalDraftText 4_11_2019.pdf</t>
  </si>
  <si>
    <t>FOIA-FWS-2020-00724-0001652</t>
  </si>
  <si>
    <t>Huff, Robert D</t>
  </si>
  <si>
    <t>RE: fisher sensitive species status</t>
  </si>
  <si>
    <t>FOIA-FWS-2020-00724-0001653</t>
  </si>
  <si>
    <t>Re: fisher sensitive species status</t>
  </si>
  <si>
    <t>FOIA-FWS-2020-00724-0001654</t>
  </si>
  <si>
    <t>[EXTERNAL] Re: Fisher report - Oregon Cascades</t>
  </si>
  <si>
    <t>MoriartyKelseyMatthews_KlamathPlateau_Report_190410.pdf</t>
  </si>
  <si>
    <t>FOIA-FWS-2020-00724-0001656</t>
  </si>
  <si>
    <t>Edits for AR text</t>
  </si>
  <si>
    <t>20190411_Exposure to Toxicants.docx</t>
  </si>
  <si>
    <t>FOIA-FWS-2020-00724-0001658</t>
  </si>
  <si>
    <t>Drake, Madeline K; Hull, Josh; Livingston, Sue; Willy, Elizabeth; Finley, Laura; Russell, Daniel</t>
  </si>
  <si>
    <t>FINAL PUSH FOR EDITS---fisher text for FR doc</t>
  </si>
  <si>
    <t>FOIA-FWS-2020-00724-0001659</t>
  </si>
  <si>
    <t>Re: Stella Project  The links in this email string all work.</t>
  </si>
  <si>
    <t>FOIA-FWS-2020-00724-0001660</t>
  </si>
  <si>
    <t>Existing Regulatory and Voluntary Mechanisms.pdf</t>
  </si>
  <si>
    <t>FOIA-FWS-2020-00724-0001661</t>
  </si>
  <si>
    <t>Proposed 4(d) Rule.pdf</t>
  </si>
  <si>
    <t>FOIA-FWS-2020-00724-0001662</t>
  </si>
  <si>
    <t>References Cited.pdf</t>
  </si>
  <si>
    <t>FOIA-FWS-2020-00724-0001663</t>
  </si>
  <si>
    <t>SpeciesInfo &amp; Distribution.pdf</t>
  </si>
  <si>
    <t>FOIA-FWS-2020-00724-0001664</t>
  </si>
  <si>
    <t>SummOfBiologicalStatus.pdf</t>
  </si>
  <si>
    <t>FOIA-FWS-2020-00724-0001665</t>
  </si>
  <si>
    <t>20190416_fisher_2019FRdoc DRussell 0421.pdf</t>
  </si>
  <si>
    <t>FOIA-FWS-2020-00724-0001666</t>
  </si>
  <si>
    <t>20190416_fisher_2019FRdoc DRussell 0705 MMLong comments.pdf</t>
  </si>
  <si>
    <t>FOIA-FWS-2020-00724-0001667</t>
  </si>
  <si>
    <t>20190416_fisher_2019FRdoc.pdf</t>
  </si>
  <si>
    <t>FOIA-FWS-2020-00724-0001668</t>
  </si>
  <si>
    <t>SummOfBiologicalStatus 1000.pdf</t>
  </si>
  <si>
    <t>FOIA-FWS-2020-00724-0001669</t>
  </si>
  <si>
    <t>Russell, Daniel; Willy, Elizabeth</t>
  </si>
  <si>
    <t>RE: Stella Project  The links in this email string all work.</t>
  </si>
  <si>
    <t>FOIA-FWS-2020-00724-0001670</t>
  </si>
  <si>
    <t>updated rodenticide section</t>
  </si>
  <si>
    <t>20190416 LF 20190411_Exposure to Toxicants.docx</t>
  </si>
  <si>
    <t>FOIA-FWS-2020-00724-0001672</t>
  </si>
  <si>
    <t>Re: updated rodenticide section</t>
  </si>
  <si>
    <t>FOIA-FWS-2020-00724-0001673</t>
  </si>
  <si>
    <t>Fisher draft rule for your review/edit</t>
  </si>
  <si>
    <t>20190416_fisher_2019FRdoc.docx</t>
  </si>
  <si>
    <t>FOIA-FWS-2020-00724-0001675</t>
  </si>
  <si>
    <t>Re: FW: Stella Project. The links in this email string all work.</t>
  </si>
  <si>
    <t>FOIA-FWS-2020-00724-0001676</t>
  </si>
  <si>
    <t>[EXTERNAL] Re: Brief note - Two 1st year male fisher mortalities on HWY 32</t>
  </si>
  <si>
    <t>FOIA-FWS-2020-00724-0001677</t>
  </si>
  <si>
    <t>FS-R5_2019_MOU_NORTHspottedowl.pdf</t>
  </si>
  <si>
    <t>FOIA-FWS-2020-00724-0001678</t>
  </si>
  <si>
    <t>USDA FS etal 2019 MOU NSO.pdf</t>
  </si>
  <si>
    <t>FOIA-FWS-2020-00724-0001679</t>
  </si>
  <si>
    <t>Chatel, John C -FS; Chapman, Joshua L -FS; Poopatanapong, Anne -FS</t>
  </si>
  <si>
    <t>[EXTERNAL] OR /WA fed cartel grows 2004-2017</t>
  </si>
  <si>
    <t>MJ grows 2004-2017.jpg</t>
  </si>
  <si>
    <t>ORWA MJ FED Grows.jpg</t>
  </si>
  <si>
    <t>FOIA-FWS-2020-00724-0001682</t>
  </si>
  <si>
    <t xml:space="preserve">Re: Stella Project. The links in this email string all work.
</t>
  </si>
  <si>
    <t>FOIA-FWS-2020-00724-0001683</t>
  </si>
  <si>
    <t>MJ grows 2004-2017.pdf</t>
  </si>
  <si>
    <t>FOIA-FWS-2020-00724-0001684</t>
  </si>
  <si>
    <t>ORWA MJ FED Grows.pdf</t>
  </si>
  <si>
    <t>FOIA-FWS-2020-00724-0001685</t>
  </si>
  <si>
    <t>Re: Stella Project The links in this email string all work.</t>
  </si>
  <si>
    <t>FOIA-FWS-2020-00724-0001686</t>
  </si>
  <si>
    <t>Russell, Daniel; Livingston, Sue; Johnson, Jan; Drake, Madeline K; Kuyper, Richard; Crowell, Heidi</t>
  </si>
  <si>
    <t>4d (Laura Finley)</t>
  </si>
  <si>
    <t>FOIA-FWS-2020-00724-0001687</t>
  </si>
  <si>
    <t>DPS.pdf</t>
  </si>
  <si>
    <t>FOIA-FWS-2020-00724-0001688</t>
  </si>
  <si>
    <t>20190423_fisher_2019revpL.pdf</t>
  </si>
  <si>
    <t>FOIA-FWS-2020-00724-0001689</t>
  </si>
  <si>
    <t>FOIA-FWS-2020-00724-0001690</t>
  </si>
  <si>
    <t>20190423_fisher_2019revpL_EWilly.pdf</t>
  </si>
  <si>
    <t>FOIA-FWS-2020-00724-0001691</t>
  </si>
  <si>
    <t>20190423_fisher_2019revpL_mkd.pdf</t>
  </si>
  <si>
    <t>FOIA-FWS-2020-00724-0001692</t>
  </si>
  <si>
    <t>20190423_fisher_2019revpL_SL.pdf</t>
  </si>
  <si>
    <t>FOIA-FWS-2020-00724-0001693</t>
  </si>
  <si>
    <t>LF edits 20190423_fisher_2019revpL.pdf</t>
  </si>
  <si>
    <t>FOIA-FWS-2020-00724-0001694</t>
  </si>
  <si>
    <t>Important request: clarification on current range description for rule</t>
  </si>
  <si>
    <t>FOIA-FWS-2020-00724-0001695</t>
  </si>
  <si>
    <t>CAN YOU HELP WITH A FISHER EDIT?---SSN population description</t>
  </si>
  <si>
    <t>FOIA-FWS-2020-00724-0001696</t>
  </si>
  <si>
    <t>Edit needed---1st paragraph from Wildfire section</t>
  </si>
  <si>
    <t>FOIA-FWS-2020-00724-0001697</t>
  </si>
  <si>
    <t>Livingston, Sue; Willy, Elizabeth</t>
  </si>
  <si>
    <t>Edit requested---fisher, disease text</t>
  </si>
  <si>
    <t>FOIA-FWS-2020-00724-0001698</t>
  </si>
  <si>
    <t>RE: help with a sentence in the rule/DPS section</t>
  </si>
  <si>
    <t>FOIA-FWS-2020-00724-0001699</t>
  </si>
  <si>
    <t>Crowell, Heidi; Willy, Elizabeth</t>
  </si>
  <si>
    <t>RE: Edit requested---fisher, disease text</t>
  </si>
  <si>
    <t>FOIA-FWS-2020-00724-0001700</t>
  </si>
  <si>
    <t>Question---fisher edits...Do you want something edited here per your comment?</t>
  </si>
  <si>
    <t>FOIA-FWS-2020-00724-0001701</t>
  </si>
  <si>
    <t>Re: Draft REVISED PROPOSED LISTING RULE for fisher---please review</t>
  </si>
  <si>
    <t>20190423_fisher_2019revpL.docx</t>
  </si>
  <si>
    <t>FOIA-FWS-2020-00724-0001703</t>
  </si>
  <si>
    <t>Draft fisher rule---for developing Draft Communications Strategy</t>
  </si>
  <si>
    <t>FOIA-FWS-2020-00724-0001705</t>
  </si>
  <si>
    <t>Ericson, Jenny; Deanne DiPietro</t>
  </si>
  <si>
    <t>RE: [EXTERNAL] Gotomeeting link/call-in number, for your convenience</t>
  </si>
  <si>
    <t>TreeMortCort_JAEversion_4-24-19draft.pdf</t>
  </si>
  <si>
    <t>FOIA-FWS-2020-00724-0001707</t>
  </si>
  <si>
    <t>Livingston, Sue; Willy, Elizabeth; Crowell, Heidi; Drake, Madeline K; Hull, Josh; Russell, Daniel</t>
  </si>
  <si>
    <t>Last minute data from CBI</t>
  </si>
  <si>
    <t>CBI Fisher Science Update April 22 2019.pdf</t>
  </si>
  <si>
    <t>FOIA-FWS-2020-00724-0001709</t>
  </si>
  <si>
    <t>My edits (Laura Finley)</t>
  </si>
  <si>
    <t>LF edits 20190423_fisher_2019revpL.docx</t>
  </si>
  <si>
    <t>FOIA-FWS-2020-00724-0001711</t>
  </si>
  <si>
    <t>Re: Last minute data from CBI</t>
  </si>
  <si>
    <t>FOIA-FWS-2020-00724-0001712</t>
  </si>
  <si>
    <t>Fuller 2019 marijuana legalization CA.pdf</t>
  </si>
  <si>
    <t>FOIA-FWS-2020-00724-0001713</t>
  </si>
  <si>
    <t>4(e) Similarity.pdf</t>
  </si>
  <si>
    <t>FOIA-FWS-2020-00724-0001714</t>
  </si>
  <si>
    <t>nicole.m.smith@usdoj.gov; Moynan, Kathleen; Long, Michael J; Goldfarb, Joan R; Crowell, Heidi; Gilbert, Parks; Ericson, Jenny; Russell, Daniel; Glenne, Gina</t>
  </si>
  <si>
    <t>Invitation: Fisher motion call @ Mon Apr 29, 2019 10:30am - 11:30am (PDT) (jenny_ericson@fws.gov)</t>
  </si>
  <si>
    <t>kerry.o'hara@sol.doi.gov</t>
  </si>
  <si>
    <t>nicole.m.smith@usdoj.gov;kathleen_moynan@fws.gov;michael_long@fws.gov;joan.goldfarb@sol.doi.gov;kerry.o'hara@sol.doi.gov;heidi_crowell@fws.gov;parks_gilbert@fws.gov;jenny_ericson@fws.gov;daniel_russell@fws.gov;gina_glenne@fws.gov</t>
  </si>
  <si>
    <t>invite.ics 4/29/2019</t>
  </si>
  <si>
    <t>FOIA-FWS-2020-00724-0001716</t>
  </si>
  <si>
    <t>RE: Draft fisher rule---for developing Draft Communications Strategy</t>
  </si>
  <si>
    <t>FOIA-FWS-2020-00724-0001717</t>
  </si>
  <si>
    <t>RE: Draft REVISED PROPOSED LISTING RULE for fisher---please review</t>
  </si>
  <si>
    <t>20190423_fisher_2019revpL_EWilly.docx</t>
  </si>
  <si>
    <t>FOIA-FWS-2020-00724-0001719</t>
  </si>
  <si>
    <t>20190430_fisher_2019revpL MML edits.pdf</t>
  </si>
  <si>
    <t>FOIA-FWS-2020-00724-0001720</t>
  </si>
  <si>
    <t>20190430_fisher_2019revpL.pdf</t>
  </si>
  <si>
    <t>FOIA-FWS-2020-00724-0001721</t>
  </si>
  <si>
    <t>Re: 4d</t>
  </si>
  <si>
    <t>FOIA-FWS-2020-00724-0001722</t>
  </si>
  <si>
    <t>Re: QUESTION---fisher, threat, development</t>
  </si>
  <si>
    <t>FOIA-FWS-2020-00724-0001723</t>
  </si>
  <si>
    <t>REVIEW REQUESTED by COB May 8th - Draft Fisher Revised Proposed Rule</t>
  </si>
  <si>
    <t>20190430_fisher_2019revpL.docx</t>
  </si>
  <si>
    <t>FOIA-FWS-2020-00724-0001725</t>
  </si>
  <si>
    <t>FWS-R8-ES-2018-0105-0058_Att2.pdf</t>
  </si>
  <si>
    <t>FOIA-FWS-2020-00724-0001726</t>
  </si>
  <si>
    <t>Veg_mgmt_summary_table.pdf</t>
  </si>
  <si>
    <t>FOIA-FWS-2020-00724-0001727</t>
  </si>
  <si>
    <t>Finley, Laura; Crowell, Heidi; Russell, Daniel</t>
  </si>
  <si>
    <t>RE: Any draft FR doc maps available???</t>
  </si>
  <si>
    <t>20190501_Current Range of West Coast Fisher.jpg</t>
  </si>
  <si>
    <t>FOIA-FWS-2020-00724-0001729</t>
  </si>
  <si>
    <t>Garner, Kim</t>
  </si>
  <si>
    <t>RE: fisher ccaa</t>
  </si>
  <si>
    <t>FOIA-FWS-2020-00724-0001730</t>
  </si>
  <si>
    <t>Re: Fisher seasonal restriction?</t>
  </si>
  <si>
    <t>FOIA-FWS-2020-00724-0001731</t>
  </si>
  <si>
    <t>Re: FYI reminder...any edits on the fisher revised pL rule due to me COB today</t>
  </si>
  <si>
    <t>FOIA-FWS-2020-00724-0001732</t>
  </si>
  <si>
    <t>Derek J Broman</t>
  </si>
  <si>
    <t>fisher regulation question</t>
  </si>
  <si>
    <t>FOIA-FWS-2020-00724-0001733</t>
  </si>
  <si>
    <t>fisher rule review</t>
  </si>
  <si>
    <t>20190423_fisher_2019revpL_SL.docx</t>
  </si>
  <si>
    <t>FOIA-FWS-2020-00724-0001735</t>
  </si>
  <si>
    <t>Long's comments on fisher revised proposed rule</t>
  </si>
  <si>
    <t>FOIA-FWS-2020-00724-0001736</t>
  </si>
  <si>
    <t>Re: Fisher_4(d)</t>
  </si>
  <si>
    <t>FOIA-FWS-2020-00724-0001737</t>
  </si>
  <si>
    <t>RE: [EXTERNAL] RE: fisher regulation question</t>
  </si>
  <si>
    <t>FOIA-FWS-2020-00724-0001738</t>
  </si>
  <si>
    <t>Re: Is this the right historical map??</t>
  </si>
  <si>
    <t>FOIA-FWS-2020-00724-0001739</t>
  </si>
  <si>
    <t>20190509_fisher_2019revpL.pdf</t>
  </si>
  <si>
    <t>FOIA-FWS-2020-00724-0001740</t>
  </si>
  <si>
    <t>20190509_fisher_2019revpL_track changes.pdf</t>
  </si>
  <si>
    <t>FOIA-FWS-2020-00724-0001741</t>
  </si>
  <si>
    <t>Russell, Daniel; Finley, Laura; Drake, Madeline K; Livingston, Sue; Willy, Elizabeth</t>
  </si>
  <si>
    <t>IMPORTANT--2nd ROUND FISHER RULE---edits needed by NOON Monday May 20th</t>
  </si>
  <si>
    <t>FOIA-FWS-2020-00724-0001742</t>
  </si>
  <si>
    <t>Re: Invitation: Fisher--4(d) Concerns @ Fri May 10, 2019 9am - 10am (PDT) (jan_johnson@fws.gov)</t>
  </si>
  <si>
    <t>Brainstorming for Fisher 4.docx</t>
  </si>
  <si>
    <t>FOIA-FWS-2020-00724-0001744</t>
  </si>
  <si>
    <t>201890510 fisher 4d text revisted.pdf</t>
  </si>
  <si>
    <t>FOIA-FWS-2020-00724-0001745</t>
  </si>
  <si>
    <t>Fwd: 4d rule guidance comments</t>
  </si>
  <si>
    <t>201811219_Draft 4(d) guidance document FOR AES REVIEW DRussell 0509 MMLong comments.docx</t>
  </si>
  <si>
    <t>FOIA-FWS-2020-00724-0001747</t>
  </si>
  <si>
    <t>Johnson, Jan; Livingston, Sue; Willy, Elizabeth; Drake, Madeline K</t>
  </si>
  <si>
    <t>Fwd: Certification standards. The link to forest-management-certification still works.  The second link to SFI no longer works. The following link: https://sfimi.org/about-standards#:~:text=Standard%20and%20Principles%201%20Sustainable%20Forestry.%20...%202,10%20Training%20and%20Education.%20...%20More%20items...%20 provides the SFi 2015-2019 standards discussed in this email.</t>
  </si>
  <si>
    <t>FOIA-FWS-2020-00724-0001748</t>
  </si>
  <si>
    <t>Re: Existing HCPs/SHAs</t>
  </si>
  <si>
    <t>FOIA-FWS-2020-00724-0001749</t>
  </si>
  <si>
    <t>Re: revised fisher 4d text. The link to this document no longer works. We assume the link went to "201890510 fisher 4d text revisited" which is located elsewhere in this fisher FOIA response.</t>
  </si>
  <si>
    <t>FOIA-FWS-2020-00724-0001750</t>
  </si>
  <si>
    <t>Hutchinson, Jenny L</t>
  </si>
  <si>
    <t>Re: Here it is. Referenced document was not maintained with the file.</t>
  </si>
  <si>
    <t>FOIA-FWS-2020-00724-0001751</t>
  </si>
  <si>
    <t>Re: FW: marten 4D Draft...another version  The missing attachment at the end of the document is revised by the attached document. The missing attachment is no longer available.</t>
  </si>
  <si>
    <t>Proposed 4d (5).docx</t>
  </si>
  <si>
    <t>FOIA-FWS-2020-00724-0001753</t>
  </si>
  <si>
    <t>Fisher2019revpL_20190513_SL.pdf</t>
  </si>
  <si>
    <t>FOIA-FWS-2020-00724-0001754</t>
  </si>
  <si>
    <t>Re: fisher historical range map  The links to the documents no longer work. But, they refer to documents that were contained within our adminstrative record from our 2016 fisher listing determination.</t>
  </si>
  <si>
    <t>FOIA-FWS-2020-00724-0001755</t>
  </si>
  <si>
    <t>FW: our notes from the whiteboard today</t>
  </si>
  <si>
    <t>20190510 Fisher 4d Brainstorm.docx</t>
  </si>
  <si>
    <t>FOIA-FWS-2020-00724-0001757</t>
  </si>
  <si>
    <t>Fwd: Invitation: 4(d) call marten/fisher @ Tue May 14, 2019 11am - 12pm (PDT) (jenny_ericson@fws.gov)</t>
  </si>
  <si>
    <t>jenny_ericson@fws.gov;michael_long@fws.gov;daniel_russell@fws.gov;angela_picco@fws.gov;kerry.o'hara@sol.doi.gov;jennifer_l_norris@fws.gov</t>
  </si>
  <si>
    <t>FOIA-FWS-2020-00724-0001759</t>
  </si>
  <si>
    <t>Fwd: fisher range map for new federal register document</t>
  </si>
  <si>
    <t>FOIA-FWS-2020-00724-0001760</t>
  </si>
  <si>
    <t>RE: Fisher seasonal restriction?</t>
  </si>
  <si>
    <t>Consult History_Whisky Ridge BA-BE_2013.pdf</t>
  </si>
  <si>
    <t>Example PDFs_Whisky Ridge BA-BE_2013.pdf</t>
  </si>
  <si>
    <t>Fisher Reproduction Cycle.jpg</t>
  </si>
  <si>
    <t>FOIA-FWS-2020-00724-0001764</t>
  </si>
  <si>
    <t>Willy, Elizabeth; Livingston, Sue; Drake, Madeline K; Russell, Daniel; Crowell, Heidi; Johnson, Jan</t>
  </si>
  <si>
    <t>Fwd: FW: our notes from the whiteboard today</t>
  </si>
  <si>
    <t>FOIA-FWS-2020-00724-0001766</t>
  </si>
  <si>
    <t>FOIA-FWS-2020-00724-0001767</t>
  </si>
  <si>
    <t>FOIA-FWS-2020-00724-0001768</t>
  </si>
  <si>
    <t>Jeff Lewis</t>
  </si>
  <si>
    <t>fisher range map for new federal register document</t>
  </si>
  <si>
    <t>2014 historical fisher range map.png</t>
  </si>
  <si>
    <t>FOIA-FWS-2020-00724-0001770</t>
  </si>
  <si>
    <t>Re: WUI category definitions</t>
  </si>
  <si>
    <t>FOIA-FWS-2020-00724-0001771</t>
  </si>
  <si>
    <t>Mourad Gabriel IERC</t>
  </si>
  <si>
    <t>[EXTERNAL] Cannabis Reclamation Statistics: Hayfork</t>
  </si>
  <si>
    <t>Hayfork_IERC_Reclamation Statistics_May_15_2019_FINAL.pdf</t>
  </si>
  <si>
    <t>FOIA-FWS-2020-00724-0001773</t>
  </si>
  <si>
    <t>Re: Fisher revised draft 4d text  The link no longer works. We assume it went to "20190515 Revised draft Fisher 4d" which can be found elsewhere in our fisher FOIA response.</t>
  </si>
  <si>
    <t>FOIA-FWS-2020-00724-0001774</t>
  </si>
  <si>
    <t>Re: Fisher revised draft 4d text  With the conversion from google docs to onedrive, the link in this email was lost.  However, there are a number of 4d text documents from this date range that are likely the document linked to here. (see "20190515 Revised draft Fisher 4d" and others with the same title except a different date).</t>
  </si>
  <si>
    <t>FOIA-FWS-2020-00724-0001775</t>
  </si>
  <si>
    <t>Delavan, Jodie</t>
  </si>
  <si>
    <t>Materna, Elizabeth; Livingston, Sue</t>
  </si>
  <si>
    <t>Fwd: USFWS Seeks Additional Public Input on Proposed Listing of Pacific Fisher</t>
  </si>
  <si>
    <t>NR DPS Pacific fisher reopen public comment pL (1).docx</t>
  </si>
  <si>
    <t>FOIA-FWS-2020-00724-0001777</t>
  </si>
  <si>
    <t>FOIA-FWS-2020-00724-0001779</t>
  </si>
  <si>
    <t>Willy, Elizabeth; Russell, Daniel; Finley, Laura; Drake, Madeline K; Crowell, Heidi</t>
  </si>
  <si>
    <t>RE: Fisher revised draft 4d text  With the conversion from google docs to onedrive, the link in this email was lost.  However, there are a number of 4d text documents from this date range that are likely the document linked to here. (see "20190515 Revised draft Fisher 4d" and others with the same title except a different date).</t>
  </si>
  <si>
    <t>FOIA-FWS-2020-00724-0001780</t>
  </si>
  <si>
    <t>FW: Fisher - Judge's Order in response to motion to alter</t>
  </si>
  <si>
    <t>FOIA-FWS-2020-00724-0001782</t>
  </si>
  <si>
    <t>20190517 Revised draft Fisher 4d_OFWO_eds_v2.pdf</t>
  </si>
  <si>
    <t>FOIA-FWS-2020-00724-0001783</t>
  </si>
  <si>
    <t>Russell, Daniel; Crowell, Heidi; Drake, Madeline K; Livingston, Sue; Finley, Laura; Hull, Josh</t>
  </si>
  <si>
    <t>revised draft fisher 4d text</t>
  </si>
  <si>
    <t>20190517 Revised draft Fisher 4d.docx</t>
  </si>
  <si>
    <t>FOIA-FWS-2020-00724-0001785</t>
  </si>
  <si>
    <t>the table you want</t>
  </si>
  <si>
    <t>Fires_in_fisher_hab_84-11_CONUS.xlsx</t>
  </si>
  <si>
    <t>FOIA-FWS-2020-00724-0001787</t>
  </si>
  <si>
    <t>RE: briefing Paul Henson today at 1:00</t>
  </si>
  <si>
    <t>FOIA-FWS-2020-00724-0001788</t>
  </si>
  <si>
    <t>Willy, Elizabeth; Russell, Daniel; Crowell, Heidi; Drake, Madeline K; Finley, Laura; Hull, Josh</t>
  </si>
  <si>
    <t>RE: revised draft fisher 4d text</t>
  </si>
  <si>
    <t>20190517 Revised draft Fisher 4d_OFWO_eds.docx</t>
  </si>
  <si>
    <t>FOIA-FWS-2020-00724-0001790</t>
  </si>
  <si>
    <t>[EXTERNAL] Re: question</t>
  </si>
  <si>
    <t>FOIA-FWS-2020-00724-0001791</t>
  </si>
  <si>
    <t>Fisher2019revpL_DRAFT.pdf</t>
  </si>
  <si>
    <t>FOIA-FWS-2020-00724-0001792</t>
  </si>
  <si>
    <t>Thrailkill, Jim; Livingston, Sue</t>
  </si>
  <si>
    <t>Fwd: revised draft fisher 4d text</t>
  </si>
  <si>
    <t>FOIA-FWS-2020-00724-0001794</t>
  </si>
  <si>
    <t>Long, Michael J; Senn, Michael J; Russell, Daniel; Ericson, Jenny; Glenne, Gina; Moynan, Kathleen; Crowell, Heidi; Gilbert, Parks; Goldfarb, Joan R</t>
  </si>
  <si>
    <t>Fwd: [EXTERNAL] Fwd: Activity in Case 3:16-cv-06040-WHA Center For Biological Diversity et al v. Fish and Wildlife Services of the United States et al Order on Motion for Miscellaneous Relief</t>
  </si>
  <si>
    <t>FOIA-FWS-2020-00724-0001795</t>
  </si>
  <si>
    <t>Long, Michael J; Russell, Daniel; Moynan, Kathleen; Gilbert, Parks; Crowell, Heidi; Glenne, Gina; Ericson, Jenny; Goldfarb, Joan R; Senn, Michael J</t>
  </si>
  <si>
    <t>Fisher order granting extension</t>
  </si>
  <si>
    <t>Fisher order granting 35 day extension 20190517.pdf</t>
  </si>
  <si>
    <t>FOIA-FWS-2020-00724-0001797</t>
  </si>
  <si>
    <t>Re: FW: revised draft fisher 4d text</t>
  </si>
  <si>
    <t>FOIA-FWS-2020-00724-0001798</t>
  </si>
  <si>
    <t>FOIA-FWS-2020-00724-0001799</t>
  </si>
  <si>
    <t>QUESTION---peer review</t>
  </si>
  <si>
    <t>FOIA-FWS-2020-00724-0001800</t>
  </si>
  <si>
    <t>Re: fisher pCH planning---economic analysis and summer work</t>
  </si>
  <si>
    <t>FOIA-FWS-2020-00724-0001801</t>
  </si>
  <si>
    <t>Acosta, Diana</t>
  </si>
  <si>
    <t>RE: FW: revised draft fisher 4d text</t>
  </si>
  <si>
    <t>FOIA-FWS-2020-00724-0001802</t>
  </si>
  <si>
    <t>FEMA rules</t>
  </si>
  <si>
    <t>fema_p_737_fs_4.pdf</t>
  </si>
  <si>
    <t>FOIA-FWS-2020-00724-0001804</t>
  </si>
  <si>
    <t>Re: QUICK/IMPORTANT QUESTION</t>
  </si>
  <si>
    <t>FOIA-FWS-2020-00724-0001805</t>
  </si>
  <si>
    <t>Check out this citation</t>
  </si>
  <si>
    <t>Brian Nowicki 2002wui.pdf</t>
  </si>
  <si>
    <t>FOIA-FWS-2020-00724-0001807</t>
  </si>
  <si>
    <t>No subject - transmission email for a .pptx with Fisher DPS boundaries</t>
  </si>
  <si>
    <t>DATE_FisherWestDPS_.pptx</t>
  </si>
  <si>
    <t>FOIA-FWS-2020-00724-0001809</t>
  </si>
  <si>
    <t>RE: attempt at 4(d) component 1 list  The link at the bottom of the email string no longer works. We believe it is "OFRI 2018 Wildlife Managed Forests Fisher and Humbolt Marten" which can be found elsewhere in our FOIA response.</t>
  </si>
  <si>
    <t>FOIA-FWS-2020-00724-0001810</t>
  </si>
  <si>
    <t>Re: attempt at 4(d) component 1 list  The link at the bottom of the email string no longer works. We believe it is "OFRI 2018 Wildlife Managed Forests Fisher and Humbolt Marten" which can be found elsewhere in our FOIA response.</t>
  </si>
  <si>
    <t>FOIA-FWS-2020-00724-0001811</t>
  </si>
  <si>
    <t>Finley, Laura; Willy, Elizabeth; Russell, Daniel; Crowell, Heidi; Drake, Madeline K; Hull, Josh; Johnson, Jan</t>
  </si>
  <si>
    <t>Revised fisher 4d language  The google drive link in the document no longer works. However, see the document titled "20190524Revidsed draft Fisher 4d_edits" located elsewhere in this FOIA response.</t>
  </si>
  <si>
    <t>20190524Revised draft Fisher 4d_clean.docx</t>
  </si>
  <si>
    <t>FOIA-FWS-2020-00724-0001813</t>
  </si>
  <si>
    <t>Henson, Paul; Ericson, Jenny</t>
  </si>
  <si>
    <t>revised proposal for fisher 4(d)</t>
  </si>
  <si>
    <t>FOIA-FWS-2020-00724-0001815</t>
  </si>
  <si>
    <t>Jenny Hutchinson; Jennifer Norris; Kathleen Brubaker; Arnold Roessler</t>
  </si>
  <si>
    <t>revised fisher 4(d) rule proposal</t>
  </si>
  <si>
    <t>FOIA-FWS-2020-00724-0001817</t>
  </si>
  <si>
    <t>Need assistance on Positions/Concerns slide for HQ fisher briefing</t>
  </si>
  <si>
    <t>Positions-Concerns Slide.pptx</t>
  </si>
  <si>
    <t>FOIA-FWS-2020-00724-0001819</t>
  </si>
  <si>
    <t>Re: Need assistance on Positions/Concerns slide for HQ fisher briefing</t>
  </si>
  <si>
    <t>LF Positions-Concerns Slide.pptx</t>
  </si>
  <si>
    <t>FOIA-FWS-2020-00724-0001821</t>
  </si>
  <si>
    <t>Henson, Paul; Long, Michael J; Ericson, Jenny; Fris, Michael; Hershey, Kit; Crowell, Heidi; Senn, Michael J; Norris, Jennifer</t>
  </si>
  <si>
    <t>Invitation: Draft fisher 4(d) @ Fri May 31, 2019 1:30pm - 2:30pm (PDT) (jenny_ericson@fws.gov)</t>
  </si>
  <si>
    <t>paul_henson@fws.gov;daniel_russell@fws.gov;michael_long@fws.gov;jenny_ericson@fws.gov;michael_fris@fws.gov;kit_hershey@fws.gov;heidi_crowell@fws.gov;michael_senn@fws.gov;jennifer_norris@fws.gov</t>
  </si>
  <si>
    <t>FOIA-FWS-2020-00724-0001823</t>
  </si>
  <si>
    <t>20190529_FisherWestDPS_.pdf</t>
  </si>
  <si>
    <t>FOIA-FWS-2020-00724-0001824</t>
  </si>
  <si>
    <t>Positions-Concerns Slide.pdf</t>
  </si>
  <si>
    <t>FOIA-FWS-2020-00724-0001825</t>
  </si>
  <si>
    <t>FOIA-FWS-2020-00724-0001826</t>
  </si>
  <si>
    <t>Blake, Daniel</t>
  </si>
  <si>
    <t>FW: Revised fisher 4d language</t>
  </si>
  <si>
    <t>FOIA-FWS-2020-00724-0001828</t>
  </si>
  <si>
    <t>Russell, Daniel; Quamme, Sarah; Fahey, Bridget; Long, Michael J; Senn, Michael J</t>
  </si>
  <si>
    <t>Fisher PPt briefing doc.  The link in this email is to the document "20190529_FisherWestDPS_" located elsewhere in this fisher FOIA.</t>
  </si>
  <si>
    <t>FOIA-FWS-2020-00724-0001829</t>
  </si>
  <si>
    <t>Fisher rule question3</t>
  </si>
  <si>
    <t>Fisher Ownership.xlsx</t>
  </si>
  <si>
    <t>FOIA-FWS-2020-00724-0001831</t>
  </si>
  <si>
    <t>White, Rollie; Norman, Kate; Hershey, Kit; Zablan, Marilet</t>
  </si>
  <si>
    <t>Re: Fisher 4(d)</t>
  </si>
  <si>
    <t>FOIA-FWS-2020-00724-0001832</t>
  </si>
  <si>
    <t>20190530_Fisher2019revpL.pdf</t>
  </si>
  <si>
    <t>FOIA-FWS-2020-00724-0001833</t>
  </si>
  <si>
    <t>LF20190530_Fisher2019revpL.pdf</t>
  </si>
  <si>
    <t>FOIA-FWS-2020-00724-0001834</t>
  </si>
  <si>
    <t>20190530_Fisher2019revpL-track changes.pdf</t>
  </si>
  <si>
    <t>FOIA-FWS-2020-00724-0001835</t>
  </si>
  <si>
    <t>Question - peer review</t>
  </si>
  <si>
    <t>FOIA-FWS-2020-00724-0001836</t>
  </si>
  <si>
    <t>RE: Fisher rule question1</t>
  </si>
  <si>
    <t>EXCERPT FROM Existing RegMech and VolMeas Section.docx</t>
  </si>
  <si>
    <t>EXCERPT FROM Threats section.docx</t>
  </si>
  <si>
    <t>FOIA-FWS-2020-00724-0001839</t>
  </si>
  <si>
    <t>FOIA-FWS-2020-00724-0001840</t>
  </si>
  <si>
    <t>Fwd: revised proposal for fisher 4(d)</t>
  </si>
  <si>
    <t>FOIA-FWS-2020-00724-0001841</t>
  </si>
  <si>
    <t>20190531_EXCERPT 4(e) text.pdf</t>
  </si>
  <si>
    <t>FOIA-FWS-2020-00724-0001842</t>
  </si>
  <si>
    <t>20190531_Fisher2019revpL.pdf</t>
  </si>
  <si>
    <t>FOIA-FWS-2020-00724-0001843</t>
  </si>
  <si>
    <t>20190531_Meeting Notes_R1-R8 discussion on draft 4(d) rule.pdf</t>
  </si>
  <si>
    <t>FOIA-FWS-2020-00724-0001844</t>
  </si>
  <si>
    <t>Fris, Michael; Senn, Michael J; Long, Michael J</t>
  </si>
  <si>
    <t>Re: About to receive a calendar invite - Fisher 4(d)</t>
  </si>
  <si>
    <t>FOIA-FWS-2020-00724-0001846</t>
  </si>
  <si>
    <t>McGraw, Rex L</t>
  </si>
  <si>
    <t>RE: Question on fisher analysis in the latest BLM plan revision.</t>
  </si>
  <si>
    <t>FOIA-FWS-2020-00724-0001847</t>
  </si>
  <si>
    <t>RE: Fisher rule question2</t>
  </si>
  <si>
    <t>signedfisherMOU.pdf</t>
  </si>
  <si>
    <t>FOIA-FWS-2020-00724-0001849</t>
  </si>
  <si>
    <t>FOIA-FWS-2020-00724-0001850</t>
  </si>
  <si>
    <t>Fwd: For Internal Review: draft 4(d) guidance documents</t>
  </si>
  <si>
    <t>FOIA-FWS-2020-00724-0001852</t>
  </si>
  <si>
    <t>InfoMemo_DRAFTY-DRAFT.pdf</t>
  </si>
  <si>
    <t>FOIA-FWS-2020-00724-0001853</t>
  </si>
  <si>
    <t>Larvie etal 2019 SSN beetle epidemic.pdf</t>
  </si>
  <si>
    <t>FOIA-FWS-2020-00724-0001854</t>
  </si>
  <si>
    <t>Daniel Russell; Madeline Drake; Laura Finley; Elizabeth Willy; Sue Livingston; Josh Hull; Pamela Bierce; O'Hara, Kerry; Kit Hershey; Michael Long</t>
  </si>
  <si>
    <t>fyi, current/revised schedule for fisher</t>
  </si>
  <si>
    <t>20190603_FisherWestDPS_Revised Schedule.pdf</t>
  </si>
  <si>
    <t>FOIA-FWS-2020-00724-0001856</t>
  </si>
  <si>
    <t>Re: fyi, current/revised schedule for fisher</t>
  </si>
  <si>
    <t>FOIA-FWS-2020-00724-0001857</t>
  </si>
  <si>
    <t>RE: Notes from today's 4(d) meeting...  We assume the link to the document discussed is titled "20190531_Meeting_Notes_R1-R8 discussion on draft 4(d) rule" located elsewhere in this FOIA response.</t>
  </si>
  <si>
    <t>FOIA-FWS-2020-00724-0001858</t>
  </si>
  <si>
    <t>Ericson, Jenny; Glenne, Gina; Norris, Jennifer; Finley, Laura; Henson, Paul; Garner, Kim; Livingston, Sue</t>
  </si>
  <si>
    <t>Draft 4(d) rule for marten, example for fisher</t>
  </si>
  <si>
    <t>Proposed 4d_June 3DRAFT.docx</t>
  </si>
  <si>
    <t>FOIA-FWS-2020-00724-0001860</t>
  </si>
  <si>
    <t>Fwd: Draft 4(d) rule for marten, example for fisher</t>
  </si>
  <si>
    <t>FOIA-FWS-2020-00724-0001862</t>
  </si>
  <si>
    <t>FW: Comments on draft 4(d) rule for marten [PRIVILEGED]</t>
  </si>
  <si>
    <t>Marten Proposed 4d_May20DRAFT (2) KO COmments 20190522.docx</t>
  </si>
  <si>
    <t>FOIA-FWS-2020-00724-0001864</t>
  </si>
  <si>
    <t>Comments on fisher 4d rule draft</t>
  </si>
  <si>
    <t>20190524Revised draft Fisher 4d_MMLong edits.docx</t>
  </si>
  <si>
    <t>FOIA-FWS-2020-00724-0001866</t>
  </si>
  <si>
    <t>InfoMemo.pdf</t>
  </si>
  <si>
    <t>FOIA-FWS-2020-00724-0001867</t>
  </si>
  <si>
    <t>Re: Fisher rule question1</t>
  </si>
  <si>
    <t>FOIA-FWS-2020-00724-0001868</t>
  </si>
  <si>
    <t>Re: Fisher rule question2</t>
  </si>
  <si>
    <t>FOIA-FWS-2020-00724-0001869</t>
  </si>
  <si>
    <t>Re: 4(e) rationale</t>
  </si>
  <si>
    <t>FOIA-FWS-2020-00724-0001870</t>
  </si>
  <si>
    <t>20190606_DPS section draft text.pdf</t>
  </si>
  <si>
    <t>FOIA-FWS-2020-00724-0001871</t>
  </si>
  <si>
    <t>Fwd: Invitation: Fisher 4(e) discussion @ Thu Jun 6, 2019 9am - 10am (PDT) (daniel_russell@fws.gov)</t>
  </si>
  <si>
    <t>jennifer_servis@fws.gov</t>
  </si>
  <si>
    <t>Joan Goldfarb;Heidi Crowell;Long, Michael;Kerry O'Hara;daniel_russell@fws.gov;Bridget Fahey;jennifer_servis@fws.gov;Benjamin Jesup</t>
  </si>
  <si>
    <t>FOIA-FWS-2020-00724-0001873</t>
  </si>
  <si>
    <t>Draft fisher DPS section/text for revision</t>
  </si>
  <si>
    <t>20140926_2014 fisher pL_DPS section.docx</t>
  </si>
  <si>
    <t>20190606_DPS section draft text.docx</t>
  </si>
  <si>
    <t>20190606_FISHER MEETING NOTES_4(e).docx</t>
  </si>
  <si>
    <t>FOIA-FWS-2020-00724-0001877</t>
  </si>
  <si>
    <t>Draft West Coast DPS of fisher revised prop listing</t>
  </si>
  <si>
    <t>Fisher-OP-RevPL-DRAFT_.docx</t>
  </si>
  <si>
    <t>FOIA-FWS-2020-00724-0001879</t>
  </si>
  <si>
    <t>Draft Current Condition text for NCSO (I didn't copy SSN over here)</t>
  </si>
  <si>
    <t>FOIA-FWS-2020-00724-0001880</t>
  </si>
  <si>
    <t>Re: Draft fisher DPS section/text for revision</t>
  </si>
  <si>
    <t>FOIA-FWS-2020-00724-0001881</t>
  </si>
  <si>
    <t>RE: 20190604draft Fisher 4d - Invitation to edit. The link in this email is to the document "20190604draft Fisher 4d" located elsewhere in this fisher FOIA.</t>
  </si>
  <si>
    <t>FOIA-FWS-2020-00724-0001882</t>
  </si>
  <si>
    <t>revised fisher 4(d)</t>
  </si>
  <si>
    <t>20190604draft Fisher 4d.docx</t>
  </si>
  <si>
    <t>FOIA-FWS-2020-00724-0001884</t>
  </si>
  <si>
    <t>Re: Please Read - Fisher DPS Discussion (Attorney-Client Privileged)</t>
  </si>
  <si>
    <t>FOIA-FWS-2020-00724-0001885</t>
  </si>
  <si>
    <t>Re: revised fisher 4(d)</t>
  </si>
  <si>
    <t>FOIA-FWS-2020-00724-0001886</t>
  </si>
  <si>
    <t>Willy, Elizabeth; Livingston, Sue; Finley, Laura; Drake, Madeline K</t>
  </si>
  <si>
    <t>UPDATE on fisher 4(d), 4(e), draft rule, etc etc. PLEASE READ ALL</t>
  </si>
  <si>
    <t>DPS Discussion 6-9-19 v2.docx</t>
  </si>
  <si>
    <t>FOIA-FWS-2020-00724-0001888</t>
  </si>
  <si>
    <t>fisher comms-Final review by Thurs plz</t>
  </si>
  <si>
    <t>Fisher-OP-RevPL-DRAFT_2019-6-12_HC-SSedits.docx</t>
  </si>
  <si>
    <t>FOIA-FWS-2020-00724-0001890</t>
  </si>
  <si>
    <t>FW: UPDATE on fisher 4(d), 4(e), draft rule, etc etc. PLEASE READ ALL</t>
  </si>
  <si>
    <t>FOIA-FWS-2020-00724-0001892</t>
  </si>
  <si>
    <t>Yaeger, Scott FLNR:EX</t>
  </si>
  <si>
    <t>[EXTERNAL] RE: Have time to talk fisher with a yank?  The link in the email still works.</t>
  </si>
  <si>
    <t>FOIA-FWS-2020-00724-0001893</t>
  </si>
  <si>
    <t>Service 2019a Incidental Take Permit for the Green Diamond Resource Company's HCP.pdf</t>
  </si>
  <si>
    <t>FOIA-FWS-2020-00724-0001894</t>
  </si>
  <si>
    <t>Livingston, Sue; Finley, Laura</t>
  </si>
  <si>
    <t>20190604draft Fisher 4d ph edits.docx</t>
  </si>
  <si>
    <t>FOIA-FWS-2020-00724-0001896</t>
  </si>
  <si>
    <t>Re: UPDATE on fisher 4(d), 4(e), draft rule, etc etc. PLEASE READ ALL</t>
  </si>
  <si>
    <t>distance to fishers in Canada.docx</t>
  </si>
  <si>
    <t>FOIA-FWS-2020-00724-0001898</t>
  </si>
  <si>
    <t>Livingston, Sue; Glenne, Gina</t>
  </si>
  <si>
    <t>Today's version incorporating Paul's edits</t>
  </si>
  <si>
    <t>20190613draft Fisher 4d.docx</t>
  </si>
  <si>
    <t>FOIA-FWS-2020-00724-0001900</t>
  </si>
  <si>
    <t>Re: 20190612_DPS Options - Invitation to edit  The link in the email is no longer functional. We cannot relocate the document.</t>
  </si>
  <si>
    <t>FOIA-FWS-2020-00724-0001901</t>
  </si>
  <si>
    <t>IEc Technical Volume_Fisher West Coast DPS_06.14.2019.pdf</t>
  </si>
  <si>
    <t>FOIA-FWS-2020-00724-0001902</t>
  </si>
  <si>
    <t>RE: Today's version incorporating Paul's edits</t>
  </si>
  <si>
    <t>20190613draft Fisher 4d_gg.docx</t>
  </si>
  <si>
    <t>FOIA-FWS-2020-00724-0001904</t>
  </si>
  <si>
    <t>20190617b draft Fisher 4d_grim edits_DR 6-25-19_SL.pdf</t>
  </si>
  <si>
    <t>FOIA-FWS-2020-00724-0001905</t>
  </si>
  <si>
    <t>USFS 2019 Information on the RAVG and RAVG Query Builder.pdf</t>
  </si>
  <si>
    <t>FOIA-FWS-2020-00724-0001906</t>
  </si>
  <si>
    <t>West Coast fisher DPS</t>
  </si>
  <si>
    <t>20190617_DPS Options (1).docx</t>
  </si>
  <si>
    <t>FOIA-FWS-2020-00724-0001908</t>
  </si>
  <si>
    <t>FW: previous draft 4(e) text</t>
  </si>
  <si>
    <t>20190531_EXCERPT 4(e) text.docx</t>
  </si>
  <si>
    <t>FOIA-FWS-2020-00724-0001910</t>
  </si>
  <si>
    <t>RE: West Coast fisher DPS</t>
  </si>
  <si>
    <t>20190617_fisher 4(e) options.docx</t>
  </si>
  <si>
    <t>FOIA-FWS-2020-00724-0001912</t>
  </si>
  <si>
    <t>next version of fisher 4d</t>
  </si>
  <si>
    <t>201906173draft Fisher 4d.docx</t>
  </si>
  <si>
    <t>FOIA-FWS-2020-00724-0001914</t>
  </si>
  <si>
    <t>Fwd: Draft email re fisher</t>
  </si>
  <si>
    <t>FOIA-FWS-2020-00724-0001915</t>
  </si>
  <si>
    <t>Re: next version of fisher 4d</t>
  </si>
  <si>
    <t>201906173draft Fisher 4d je edits.docx</t>
  </si>
  <si>
    <t>FOIA-FWS-2020-00724-0001917</t>
  </si>
  <si>
    <t>20190617b draft Fisher 4d.docx</t>
  </si>
  <si>
    <t>FOIA-FWS-2020-00724-0001919</t>
  </si>
  <si>
    <t>Fris, Michael; Grim, Mary; Henson, Paul</t>
  </si>
  <si>
    <t>Revised 4(d) rule for fisher</t>
  </si>
  <si>
    <t>FOIA-FWS-2020-00724-0001921</t>
  </si>
  <si>
    <t>Re: Fisher rule question3</t>
  </si>
  <si>
    <t>FOIA-FWS-2020-00724-0001922</t>
  </si>
  <si>
    <t>RE: map with haplotypes The link in the email is no longer functional. We cannot relocate the document.</t>
  </si>
  <si>
    <t>20190619 DRAFT KFFWO FisherLocData_Compiled.pdf</t>
  </si>
  <si>
    <t>FOIA-FWS-2020-00724-0001924</t>
  </si>
  <si>
    <t>RE: map with haplotypes</t>
  </si>
  <si>
    <t>FOIA-FWS-2020-00724-0001925</t>
  </si>
  <si>
    <t>Re: map with haplotypes</t>
  </si>
  <si>
    <t>FOIA-FWS-2020-00724-0001926</t>
  </si>
  <si>
    <t>Grim, Mary</t>
  </si>
  <si>
    <t>Fisher 4d</t>
  </si>
  <si>
    <t>20190617b draft Fisher 4d_grim edits.docx</t>
  </si>
  <si>
    <t>FOIA-FWS-2020-00724-0001928</t>
  </si>
  <si>
    <t>Schrott, Gregory</t>
  </si>
  <si>
    <t>Joel Shinn; Norris Jennifer; Daryl Van Dyke; Jenny Hutchinson; Gregory Schmidt; Kathleen Brubaker; Hunter, John</t>
  </si>
  <si>
    <t>Fwd: [EXTERNAL] Links to Klamath products  The links in the email string are to 1) "https://docs.google.com/presentation/d/1wYrqWpnKGFd8akZrCu6OH_7bnoj9DPO1MTzvIPnyw3I/edit#slide=id.g4f8e5c69b1_0_78", "https://databasin.org/galleries/b094c161429d4b1791c39dd6fddca12d/", "https://databasin.org/galleries/d8bc4bfbc59e4acc8e39792c022996b0/", and "https://databasin.org/galleries/2fb0b0fc7772473e9752c89a63887c42/".</t>
  </si>
  <si>
    <t>FOIA-FWS-2020-00724-0001929</t>
  </si>
  <si>
    <t>Knight, Jan</t>
  </si>
  <si>
    <t>Fwd: Revised 4(d) rule for fisher</t>
  </si>
  <si>
    <t>FOIA-FWS-2020-00724-0001930</t>
  </si>
  <si>
    <t>Byers, Sherry</t>
  </si>
  <si>
    <t>Russell, Daniel; Hull, Josh</t>
  </si>
  <si>
    <t>FOIA-FWS-2020-00724-0001932</t>
  </si>
  <si>
    <t>Re: Fisher 4d</t>
  </si>
  <si>
    <t>FOIA-FWS-2020-00724-0001933</t>
  </si>
  <si>
    <t>20190617b draft Fisher 4d_grim edits_DR 6-25-19.docx</t>
  </si>
  <si>
    <t>FOIA-FWS-2020-00724-0001935</t>
  </si>
  <si>
    <t>FOIA-FWS-2020-00724-0001936</t>
  </si>
  <si>
    <t>Russell, Daniel; Ericson, Jenny</t>
  </si>
  <si>
    <t>RE: Fisher 4d</t>
  </si>
  <si>
    <t>20190617b draft Fisher 4d_grim edits_DR 6-25-19_SL.docx</t>
  </si>
  <si>
    <t>FOIA-FWS-2020-00724-0001938</t>
  </si>
  <si>
    <t>Fwd: Fisher 4d</t>
  </si>
  <si>
    <t>FOIA-FWS-2020-00724-0001940</t>
  </si>
  <si>
    <t>FW: Fisher 4d</t>
  </si>
  <si>
    <t>FOIA-FWS-2020-00724-0001942</t>
  </si>
  <si>
    <t>Russell, Daniel; Crowell, Heidi; Ericson, Jenny; Norris, Jennifer; Garner, Kim; Hull, Josh; Glenne, Gina; Livingston, Sue; Finley, Laura; Grim, Mary</t>
  </si>
  <si>
    <t>Invitation: Fisher 4(d) discussion @ Fri Jun 28, 2019 11am - 12pm (PDT) (gina_glenne@fws.gov)</t>
  </si>
  <si>
    <t>michael_long@fws.gov</t>
  </si>
  <si>
    <t>daniel_russell@fws.gov;michael_long@fws.gov;heidi_crowell@fws.gov;jenny_ericson@fws.gov;jennifer_norris@fws.gov;kim_garner@fws.gov;josh_hull@fws.gov;gina_glenne@fws.gov;sue_livingston@fws.gov;laura_finley@fws.gov;mary_grim@fws.gov</t>
  </si>
  <si>
    <t>FOIA-FWS-2020-00724-0001944</t>
  </si>
  <si>
    <t>Re: Fisher distances</t>
  </si>
  <si>
    <t>FOIA-FWS-2020-00724-0001945</t>
  </si>
  <si>
    <t>20190617b draft Fisher 4d_grim edits_DR 6-25-19LF.docx</t>
  </si>
  <si>
    <t>FOIA-FWS-2020-00724-0001947</t>
  </si>
  <si>
    <t>Re: 4(d)</t>
  </si>
  <si>
    <t>FOIA-FWS-2020-00724-0001948</t>
  </si>
  <si>
    <t>FOIA-FWS-2020-00724-0001949</t>
  </si>
  <si>
    <t>next version of fisher 4(d)</t>
  </si>
  <si>
    <t>clean20190702draft Fisher 4d.docx</t>
  </si>
  <si>
    <t>FOIA-FWS-2020-00724-0001951</t>
  </si>
  <si>
    <t>84 FR 31903 Proposed Site Plans Under a CCAA July 3 2019.pdf</t>
  </si>
  <si>
    <t>FOIA-FWS-2020-00724-0001952</t>
  </si>
  <si>
    <t>Prestemon etal 2019.pdf</t>
  </si>
  <si>
    <t>FOIA-FWS-2020-00724-0001953</t>
  </si>
  <si>
    <t>Crowell, Heidi; Willy, Elizabeth; Drake, Madeline K; Hull, Josh; Finley, Laura; Livingston, Sue</t>
  </si>
  <si>
    <t>20190416_fisher_2019FRdoc DRussell 0705.docx</t>
  </si>
  <si>
    <t>FOIA-FWS-2020-00724-0001955</t>
  </si>
  <si>
    <t>Wendt 2019 Enforcing the Wild West of Weed.pdf</t>
  </si>
  <si>
    <t>FOIA-FWS-2020-00724-0001956</t>
  </si>
  <si>
    <t>FOIA-FWS-2020-00724-0001957</t>
  </si>
  <si>
    <t>FOIA-FWS-2020-00724-0001958</t>
  </si>
  <si>
    <t>Long's comments on Fisher DPS text  We are unable to locate the document at the link. The closest document we can find is one dated and titled "20190724_draft fisher 4d".</t>
  </si>
  <si>
    <t>FOIA-FWS-2020-00724-0001959</t>
  </si>
  <si>
    <t>Re: A few comments</t>
  </si>
  <si>
    <t>FOIA-FWS-2020-00724-0001960</t>
  </si>
  <si>
    <t>DPS comments</t>
  </si>
  <si>
    <t>Fisher 60424 Federal Register.docx</t>
  </si>
  <si>
    <t>YFWO 20190416_fisher_2019FRdoc DRussell 0705.docx</t>
  </si>
  <si>
    <t>FOIA-FWS-2020-00724-0001963</t>
  </si>
  <si>
    <t>YFWO 20190416_fisher_2019FRdoc DRussell 0705_LF_GG.docx</t>
  </si>
  <si>
    <t>FOIA-FWS-2020-00724-0001966</t>
  </si>
  <si>
    <t>FOIA-FWS-2020-00724-0001967</t>
  </si>
  <si>
    <t>quick update on DPS</t>
  </si>
  <si>
    <t>FOIA-FWS-2020-00724-0001968</t>
  </si>
  <si>
    <t>Russell, Daniel; Roessler, Arnold; Crowell, Heidi</t>
  </si>
  <si>
    <t>Critical habitat scheduling question</t>
  </si>
  <si>
    <t>FOIA-FWS-2020-00724-0001969</t>
  </si>
  <si>
    <t>FOIA-FWS-2020-00724-0001970</t>
  </si>
  <si>
    <t>FOIA-FWS-2020-00724-0001971</t>
  </si>
  <si>
    <t>Russell, Daniel; Crowell, Heidi; Livingston, Sue; Willy, Elizabeth; Drake, Madeline K</t>
  </si>
  <si>
    <t>YFWO comments</t>
  </si>
  <si>
    <t>FOIA-FWS-2020-00724-0001974</t>
  </si>
  <si>
    <t>Re: question about GIS data for fisher</t>
  </si>
  <si>
    <t>FOIA-FWS-2020-00724-0001975</t>
  </si>
  <si>
    <t>Henson, Paul; Garner, Kim</t>
  </si>
  <si>
    <t>RE: Heads-up---planning for fisher rule R1 concurrence and SOL surname</t>
  </si>
  <si>
    <t>FOIA-FWS-2020-00724-0001976</t>
  </si>
  <si>
    <t>Crowell, Heidi; Russell, Daniel; Hershey, Kit</t>
  </si>
  <si>
    <t>FW: Heads-up---planning for fisher rule R1 concurrence and SOL surname</t>
  </si>
  <si>
    <t>FOIA-FWS-2020-00724-0001977</t>
  </si>
  <si>
    <t>DATE_Fisher2019revpL_DRussell with FO input 7-12-19_no 4d.pdf</t>
  </si>
  <si>
    <t>FOIA-FWS-2020-00724-0001978</t>
  </si>
  <si>
    <t>DATE_Fisher2019revpL_DRussell with FO input 7-12-19_no4d _SLeds.pdf</t>
  </si>
  <si>
    <t>FOIA-FWS-2020-00724-0001979</t>
  </si>
  <si>
    <t>LF 7_17_19_Fisher2019revpL_DRussell with FO input 7-12-19_no 4d.pdf</t>
  </si>
  <si>
    <t>FOIA-FWS-2020-00724-0001980</t>
  </si>
  <si>
    <t>DATE_Fisher2019revpL_DRussell with FO input 7-12-19_no 4d.docx</t>
  </si>
  <si>
    <t>DATE_Fisher2019revpL_DRussell with FO input 7-12-19_no 4d_ clean.docx</t>
  </si>
  <si>
    <t>FOIA-FWS-2020-00724-0001983</t>
  </si>
  <si>
    <t>FOIA-FWS-2020-00724-0001984</t>
  </si>
  <si>
    <t>Quamme, Sarah</t>
  </si>
  <si>
    <t>Re: URGENT: RIN request forms due COB Monday</t>
  </si>
  <si>
    <t>FOIA-FWS-2020-00724-0001985</t>
  </si>
  <si>
    <t>Fwd: URGENT: RIN request forms due COB Monday</t>
  </si>
  <si>
    <t>Coastal Marten CH RIN request form 6.18.19 listing actions.docx</t>
  </si>
  <si>
    <t>FOIA-FWS-2020-00724-0001987</t>
  </si>
  <si>
    <t>Re: URGENT: RIN request form due COB Monday ---Fisher</t>
  </si>
  <si>
    <t>20190715_RIN request form_FisherCH.docx</t>
  </si>
  <si>
    <t>FOIA-FWS-2020-00724-0001989</t>
  </si>
  <si>
    <t>Fwd: URGENT: RIN request form due COB Monday ---Fisher</t>
  </si>
  <si>
    <t>FOIA-FWS-2020-00724-0001991</t>
  </si>
  <si>
    <t>Glenne, Gina; Livingston, Sue; Willy, Elizabeth</t>
  </si>
  <si>
    <t>Invitation: Fisher DPS catch up call @ Mon Jul 15, 2019 3pm - 4pm (PDT) (gina_glenne@fws.gov)</t>
  </si>
  <si>
    <t>laura_finley@fws.gov;gina_glenne@fws.gov;sue_livingston@fws.gov;elizabeth_willy@fws.gov</t>
  </si>
  <si>
    <t>FOIA-FWS-2020-00724-0001993</t>
  </si>
  <si>
    <t>Re: fisher detections in Yosemite.</t>
  </si>
  <si>
    <t>FOIA-FWS-2020-00724-0001994</t>
  </si>
  <si>
    <t>clean20190702draft Fisher 4d_DRussell 7-16-19.pdf</t>
  </si>
  <si>
    <t>FOIA-FWS-2020-00724-0001995</t>
  </si>
  <si>
    <t>clean20190702draft Fisher 4d_DRussell 7-16-19_SL-edits.pdf</t>
  </si>
  <si>
    <t>FOIA-FWS-2020-00724-0001996</t>
  </si>
  <si>
    <t>clean20190702draft Fisher 4d_DRussell 7-16-19.docx</t>
  </si>
  <si>
    <t>FOIA-FWS-2020-00724-0001998</t>
  </si>
  <si>
    <t>Re: FW: genetics</t>
  </si>
  <si>
    <t>FOIA-FWS-2020-00724-0001999</t>
  </si>
  <si>
    <t>FW: next version of fisher 4(d)</t>
  </si>
  <si>
    <t>clean20190702draft Fisher 4d_DRussell 7-16-19 (002)_gg.docx</t>
  </si>
  <si>
    <t>FOIA-FWS-2020-00724-0002002</t>
  </si>
  <si>
    <t>Russell, Daniel; Crowell, Heidi; Willy, Elizabeth; Drake, Madeline K; Hull, Josh; Finley, Laura; Livingston, Sue</t>
  </si>
  <si>
    <t>RE: UPDATE on fisher 4(d), 4(e), draft rule, etc etc. PLEASE READ ALL</t>
  </si>
  <si>
    <t>FOIA-FWS-2020-00724-0002004</t>
  </si>
  <si>
    <t>Roessler, Arnold; Crowell, Heidi; Giglio, Deborah; West, Sabrina</t>
  </si>
  <si>
    <t>Fwd: Just an idea of some language for a 4(d) rule for plants</t>
  </si>
  <si>
    <t>20181206_Combined 4(d) Template FOR REVIEW.docx</t>
  </si>
  <si>
    <t>FOIA-FWS-2020-00724-0002006</t>
  </si>
  <si>
    <t>Russell, Daniel; Crowell, Heidi; Willy, Elizabeth; Drake, Madeline K; Hull, Josh; Finley, Laura</t>
  </si>
  <si>
    <t>DATE_Fisher2019revpL_DRussell with FO input 7-12-19_no4d _SLeds.docx</t>
  </si>
  <si>
    <t>FOIA-FWS-2020-00724-0002008</t>
  </si>
  <si>
    <t>FOIA-FWS-2020-00724-0002009</t>
  </si>
  <si>
    <t>Russell, Daniel; Crowell, Heidi; Livingston, Sue; Drake, Madeline K; Willy, Elizabeth</t>
  </si>
  <si>
    <t>Review of the fisher revpL</t>
  </si>
  <si>
    <t>LF 7_17_19_Fisher2019revpL_DRussell with FO input 7-12-19_no 4d.docx</t>
  </si>
  <si>
    <t>FOIA-FWS-2020-00724-0002011</t>
  </si>
  <si>
    <t>Re: Just an idea of some language for a 4(d) rule for plants</t>
  </si>
  <si>
    <t>FOIA-FWS-2020-00724-0002012</t>
  </si>
  <si>
    <t>Livingston, Sue; Russell, Daniel; Crowell, Heidi; Drake, Madeline K; Hull, Josh; Finley, Laura</t>
  </si>
  <si>
    <t>clean20190702draft Fisher 4d_DRussell 7-16-19_SL-edits_EW.docx</t>
  </si>
  <si>
    <t>FOIA-FWS-2020-00724-0002014</t>
  </si>
  <si>
    <t>DATE_Fisher2019revpL_DRussell with FO input 7-12-19_no4d _SLeds_EW.docx</t>
  </si>
  <si>
    <t>FOIA-FWS-2020-00724-0002016</t>
  </si>
  <si>
    <t>our edits</t>
  </si>
  <si>
    <t>clean20190702draft Fisher 4d_DRussell 7-16-19 (002) gg and LF comments.docx</t>
  </si>
  <si>
    <t>FOIA-FWS-2020-00724-0002018</t>
  </si>
  <si>
    <t>FOIA-FWS-2020-00724-0002020</t>
  </si>
  <si>
    <t>FOIA-FWS-2020-00724-0002021</t>
  </si>
  <si>
    <t>RE: what do you think?</t>
  </si>
  <si>
    <t>FOIA-FWS-2020-00724-0002022</t>
  </si>
  <si>
    <t>Russell, Daniel; Glenne, Gina</t>
  </si>
  <si>
    <t>FOIA-FWS-2020-00724-0002023</t>
  </si>
  <si>
    <t>my most current version</t>
  </si>
  <si>
    <t>clean20190702draft Fisher 4d_DRussell 7-22-19 revised.docx</t>
  </si>
  <si>
    <t>FOIA-FWS-2020-00724-0002025</t>
  </si>
  <si>
    <t>Livingston, Sue; Crowell, Heidi; Finley, Laura; Willy, Elizabeth; Glenne, Gina</t>
  </si>
  <si>
    <t>Re: Requesting final thoughts...</t>
  </si>
  <si>
    <t>FOIA-FWS-2020-00724-0002026</t>
  </si>
  <si>
    <t>Willy, Elizabeth; Finley, Laura</t>
  </si>
  <si>
    <t>FOIA-FWS-2020-00724-0002027</t>
  </si>
  <si>
    <t>FOIA-FWS-2020-00724-0002028</t>
  </si>
  <si>
    <t>RE: Requesting final thoughts...</t>
  </si>
  <si>
    <t>FOIA-FWS-2020-00724-0002029</t>
  </si>
  <si>
    <t>20190724_draft_fisher_4d.pdf</t>
  </si>
  <si>
    <t>FOIA-FWS-2020-00724-0002030</t>
  </si>
  <si>
    <t>20190724_Fisher2019revpL.pdf</t>
  </si>
  <si>
    <t>FOIA-FWS-2020-00724-0002031</t>
  </si>
  <si>
    <t>Finley, Laura; Livingston, Sue; Glenne, Gina</t>
  </si>
  <si>
    <t>RE: a follow up ITS thought</t>
  </si>
  <si>
    <t>FOIA-FWS-2020-00724-0002032</t>
  </si>
  <si>
    <t>Re: phone call</t>
  </si>
  <si>
    <t>FOIA-FWS-2020-00724-0002033</t>
  </si>
  <si>
    <t>Re: Need citation clarification</t>
  </si>
  <si>
    <t>FOIA-FWS-2020-00724-0002034</t>
  </si>
  <si>
    <t>RE: Need citation clarification</t>
  </si>
  <si>
    <t>FOIA-FWS-2020-00724-0002035</t>
  </si>
  <si>
    <t>Henson, Paul; Livingston, Sue</t>
  </si>
  <si>
    <t>Request R1 Concurrence - West Coast DPS of fisher Revised Proposed Rule</t>
  </si>
  <si>
    <t>20190724_Fisher2019revpL.docx</t>
  </si>
  <si>
    <t>FOIA-FWS-2020-00724-0002037</t>
  </si>
  <si>
    <t>Re: Request R1 Concurrence - West Coast DPS of fisher Revised Proposed Rule</t>
  </si>
  <si>
    <t>FOIA-FWS-2020-00724-0002038</t>
  </si>
  <si>
    <t>20190725_Fisher2019revpL_Note-to-reviewer.pdf</t>
  </si>
  <si>
    <t>FOIA-FWS-2020-00724-0002039</t>
  </si>
  <si>
    <t>marcia_cash@fws.gov, susan_wilkinson@fws.gov, anissa_craghead@fws.gov, sara_prigan@fws.gov</t>
  </si>
  <si>
    <t>Documentation of PPM Review_West Coast DPS of Fisher.pdf</t>
  </si>
  <si>
    <t>FOIA-FWS-2020-00724-0002040</t>
  </si>
  <si>
    <t>20190729_InfoMemo.pdf</t>
  </si>
  <si>
    <t>FOIA-FWS-2020-00724-0002041</t>
  </si>
  <si>
    <t>FOIA-FWS-2020-00724-0002042</t>
  </si>
  <si>
    <t>Cash, Marcia; Wilkinson, Susan; Craghead, Anissa; Prigan, Sara</t>
  </si>
  <si>
    <t>Request PPM Review - Revised Proposed Listing as T, West Coast DPS of Fisher</t>
  </si>
  <si>
    <t>20190725_Fisher2019revpL.docx</t>
  </si>
  <si>
    <t>20190725_Form 3-2198_Request for PPM Review.pdf</t>
  </si>
  <si>
    <t>FOIA-FWS-2020-00724-0002045</t>
  </si>
  <si>
    <t>Stewart etal 2019.pdf</t>
  </si>
  <si>
    <t>FOIA-FWS-2020-00724-0002046</t>
  </si>
  <si>
    <t>20190725_InfoMemo_DRussell_0729.pdf</t>
  </si>
  <si>
    <t>FOIA-FWS-2020-00724-0002047</t>
  </si>
  <si>
    <t>Re: Fisher ready for RO surname process</t>
  </si>
  <si>
    <t>20190725_InfoMemo_DRussell_0729.docx</t>
  </si>
  <si>
    <t>FOIA-FWS-2020-00724-0002049</t>
  </si>
  <si>
    <t>FOIA-FWS-2020-00724-0002050</t>
  </si>
  <si>
    <t>Fisher-OP-_2019731 em.pdf</t>
  </si>
  <si>
    <t>FOIA-FWS-2020-00724-0002051</t>
  </si>
  <si>
    <t>Fisher-RPR-NR-20190731.pdf</t>
  </si>
  <si>
    <t>FOIA-FWS-2020-00724-0002052</t>
  </si>
  <si>
    <t>4(d)</t>
  </si>
  <si>
    <t>Provisions of Section 4.docx</t>
  </si>
  <si>
    <t>FOIA-FWS-2020-00724-0002054</t>
  </si>
  <si>
    <t>Cox, Dan</t>
  </si>
  <si>
    <t>Recent BO/permit for Green Diamond HCP?</t>
  </si>
  <si>
    <t>FOIA-FWS-2020-00724-0002055</t>
  </si>
  <si>
    <t>Re: IMPORTANT---NEED CHECK/EDIT ASAP, Wed morning, fisher, Green DIamond HCP</t>
  </si>
  <si>
    <t>FOIA-FWS-2020-00724-0002056</t>
  </si>
  <si>
    <t>20190801_Fisher2019revpL_0805.pdf</t>
  </si>
  <si>
    <t>FOIA-FWS-2020-00724-0002057</t>
  </si>
  <si>
    <t>Lewis etal 2019 NOCA Cascades Fisher Reintroduction  ProgReport.pdf</t>
  </si>
  <si>
    <t>FOIA-FWS-2020-00724-0002058</t>
  </si>
  <si>
    <t>4d edits</t>
  </si>
  <si>
    <t>Provisions of Section 4_grim edits.docx</t>
  </si>
  <si>
    <t>FOIA-FWS-2020-00724-0002060</t>
  </si>
  <si>
    <t>Crowell, Heidi; Brubaker, Kathleen</t>
  </si>
  <si>
    <t>FOIA-FWS-2020-00724-0002061</t>
  </si>
  <si>
    <t>Master version of fisher rule attached</t>
  </si>
  <si>
    <t>20190801_Fisher2019revpL.docx</t>
  </si>
  <si>
    <t>FOIA-FWS-2020-00724-0002063</t>
  </si>
  <si>
    <t>Re: help me edit this to send to the appropriate PLs</t>
  </si>
  <si>
    <t>FOIA-FWS-2020-00724-0002064</t>
  </si>
  <si>
    <t>Fris, Michael; Long, Michael J; Grim, Mary</t>
  </si>
  <si>
    <t>draft with Long's additions</t>
  </si>
  <si>
    <t>Provisions of Section 4_grim editsDR_0802.docx</t>
  </si>
  <si>
    <t>FOIA-FWS-2020-00724-0002066</t>
  </si>
  <si>
    <t>Re: draft with Long's additions</t>
  </si>
  <si>
    <t>Provisions of Section 4_0802_clean.docx</t>
  </si>
  <si>
    <t>FOIA-FWS-2020-00724-0002068</t>
  </si>
  <si>
    <t>FOIA-FWS-2020-00724-0002069</t>
  </si>
  <si>
    <t>fisher rev pL with 4(d) 8.5.19.pdf</t>
  </si>
  <si>
    <t>FOIA-FWS-2020-00724-0002070</t>
  </si>
  <si>
    <t>Re: Draft fisher rule for your review, without 4(d)</t>
  </si>
  <si>
    <t>20190801_Fisher2019revpL_0805.docx</t>
  </si>
  <si>
    <t>FOIA-FWS-2020-00724-0002072</t>
  </si>
  <si>
    <t>Souza, Paul; Norris, Jennifer L; Norris, Jennifer; Russell, Daniel; Everson, Dan; Long, Michael J; Henson, Paul; Ericson, Jenny; Grim, Mary</t>
  </si>
  <si>
    <t>fisher proposed 4(d) edits</t>
  </si>
  <si>
    <t>FOIA-FWS-2020-00724-0002074</t>
  </si>
  <si>
    <t>IMPORTANT---SOL comment on fisher rule...citation needed asap. Heidi was forwarding SOL comments for response.</t>
  </si>
  <si>
    <t>FOIA-FWS-2020-00724-0002075</t>
  </si>
  <si>
    <t>Re: IMPORTANT---SOL comment on fisher rule...citation needed asap. H. Crowell was forwarding Solicitor's comments for response.</t>
  </si>
  <si>
    <t>FOIA-FWS-2020-00724-0002076</t>
  </si>
  <si>
    <t>20190807_Fisher2019revpL.pdf</t>
  </si>
  <si>
    <t>FOIA-FWS-2020-00724-0002077</t>
  </si>
  <si>
    <t>Re: [EXTERNAL] Final Ffisher Project Report</t>
  </si>
  <si>
    <t>FOIA-FWS-2020-00724-0002078</t>
  </si>
  <si>
    <t>Re: fisher proposed 4(d) edits</t>
  </si>
  <si>
    <t>FOIA-FWS-2020-00724-0002079</t>
  </si>
  <si>
    <t>RE: fisher proposed 4(d) edits</t>
  </si>
  <si>
    <t>20190524Revised draft Fisher 4d_clean_SL-eds.docx</t>
  </si>
  <si>
    <t>FOIA-FWS-2020-00724-0002081</t>
  </si>
  <si>
    <t>FOIA-FWS-2020-00724-0002082</t>
  </si>
  <si>
    <t>20190808_Fisher2019revpL_with PPM_clean.pdf</t>
  </si>
  <si>
    <t>FOIA-FWS-2020-00724-0002083</t>
  </si>
  <si>
    <t>20190808_InfoMemo.pdf</t>
  </si>
  <si>
    <t>FOIA-FWS-2020-00724-0002084</t>
  </si>
  <si>
    <t>FOIA-FWS-2020-00724-0002085</t>
  </si>
  <si>
    <t>Here is my attempt on the 4d edits</t>
  </si>
  <si>
    <t>YFWO Provisions of Section 4_080819.docx</t>
  </si>
  <si>
    <t>FOIA-FWS-2020-00724-0002087</t>
  </si>
  <si>
    <t>4(d) from Laura with my edits</t>
  </si>
  <si>
    <t>YFWO Provisions of Section 4_080819_lf_gg.docx</t>
  </si>
  <si>
    <t>FOIA-FWS-2020-00724-0002089</t>
  </si>
  <si>
    <t>Provisions of Section 4_080819_YFWO edits.docx</t>
  </si>
  <si>
    <t>FOIA-FWS-2020-00724-0002091</t>
  </si>
  <si>
    <t>Knight, Jan; Kuyper, Richard; Hull, Josh</t>
  </si>
  <si>
    <t>Fwd: fisher proposed 4(d) edits</t>
  </si>
  <si>
    <t>FOIA-FWS-2020-00724-0002093</t>
  </si>
  <si>
    <t>Livingston, Sue; Garner, Kim; Thrailkill, Jim</t>
  </si>
  <si>
    <t>fisher 4d</t>
  </si>
  <si>
    <t>FOIA-FWS-2020-00724-0002094</t>
  </si>
  <si>
    <t>20190813_DRAFT RULE_possible citation corrections.pdf</t>
  </si>
  <si>
    <t>FOIA-FWS-2020-00724-0002095</t>
  </si>
  <si>
    <t>20190813_Fisher2019revpL_CBP.pdf</t>
  </si>
  <si>
    <t>FOIA-FWS-2020-00724-0002096</t>
  </si>
  <si>
    <t>20190813_Fisher2019revpL_Note-to-reviewer.pdf</t>
  </si>
  <si>
    <t>FOIA-FWS-2020-00724-0002097</t>
  </si>
  <si>
    <t>20190813_Fisher2019revpL_trackchange post PPM2 &amp;4(d)rev.pdf</t>
  </si>
  <si>
    <t>FOIA-FWS-2020-00724-0002098</t>
  </si>
  <si>
    <t>FOIA-FWS-2020-00724-0002099</t>
  </si>
  <si>
    <t>West, Sabrina</t>
  </si>
  <si>
    <t>FISHER READY FOR PRINTING. The links in this document are to the documents with the names listed that are located elsewhere in this fisher FOIA. Except the document with "Surname" in the title that we are unable to locate.</t>
  </si>
  <si>
    <t>FOIA-FWS-2020-00724-0002100</t>
  </si>
  <si>
    <t>Fwd: Revised fisher 4(d) Language</t>
  </si>
  <si>
    <t>20190812 revised 4d rule to address RSOL concerns.docx</t>
  </si>
  <si>
    <t>FOIA-FWS-2020-00724-0002102</t>
  </si>
  <si>
    <t>Rattner Mastrota 2017 Abstract Only Anticoagulant Rodenticide.pdf</t>
  </si>
  <si>
    <t>FOIA-FWS-2020-00724-0002103</t>
  </si>
  <si>
    <t>Hindmarch Elliott 2017 Abstract Only Ecological Factors Driving Uptake of Anticoagulant Rodenticides in Predators _ SpringerLink.pdf</t>
  </si>
  <si>
    <t>FOIA-FWS-2020-00724-0002104</t>
  </si>
  <si>
    <t>Lopez-Perea Mateo 2017 Abstract Only Secondary Exposure to Anticoagulant Rodenticides and Effects on Predators _ SpringerLink.pdf</t>
  </si>
  <si>
    <t>FOIA-FWS-2020-00724-0002105</t>
  </si>
  <si>
    <t>Re: IMPORTANT---need help fisher references; Due noon 8/15/2019  The links in the email string were lost in the transfer from google drive to onedrive.</t>
  </si>
  <si>
    <t>FOIA-FWS-2020-00724-0002106</t>
  </si>
  <si>
    <t>fire paper</t>
  </si>
  <si>
    <t>Keyser and Westerling 2019_Predicting increasing high severity area burned for 3 forests in westenr US.pdf</t>
  </si>
  <si>
    <t>FOIA-FWS-2020-00724-0002108</t>
  </si>
  <si>
    <t>re: Rattner and Mastrosa 2018 reference...</t>
  </si>
  <si>
    <t>FOIA-FWS-2020-00724-0002109</t>
  </si>
  <si>
    <t>All yours on the references...please finish COB today</t>
  </si>
  <si>
    <t>FOIA-FWS-2020-00724-0002110</t>
  </si>
  <si>
    <t>Re: All yours on the references...please finish COB today</t>
  </si>
  <si>
    <t>FOIA-FWS-2020-00724-0002111</t>
  </si>
  <si>
    <t>Re: Naming convention</t>
  </si>
  <si>
    <t>FOIA-FWS-2020-00724-0002112</t>
  </si>
  <si>
    <t>Final/edited References cited for fisher rule attached</t>
  </si>
  <si>
    <t>20190816_References Cited.docx</t>
  </si>
  <si>
    <t>FOIA-FWS-2020-00724-0002114</t>
  </si>
  <si>
    <t>Long, Michael J; Crowell, Heidi; Finley, Laura</t>
  </si>
  <si>
    <t>Fwd: fisher revpL ready for formal HQ transmittal</t>
  </si>
  <si>
    <t>20190808_InfoMemo.docx</t>
  </si>
  <si>
    <t>20190813_Fisher2019revpL_CBP.docx</t>
  </si>
  <si>
    <t>20190816_Fisher2019revpL.docx</t>
  </si>
  <si>
    <t>FOIA-FWS-2020-00724-0002120</t>
  </si>
  <si>
    <t>fisher - revised proposed rule surname 20190815.pdf This is a Solicitor's legal review form.</t>
  </si>
  <si>
    <t>Fisher RD surnames.pdf</t>
  </si>
  <si>
    <t>FOIA-FWS-2020-00724-0002123</t>
  </si>
  <si>
    <t>20190817 Fisher revpL DCC sjq.pdf</t>
  </si>
  <si>
    <t>FOIA-FWS-2020-00724-0002124</t>
  </si>
  <si>
    <t>TrackChanges_20190817 Fisher revpL DCC sjq.pdf</t>
  </si>
  <si>
    <t>FOIA-FWS-2020-00724-0002125</t>
  </si>
  <si>
    <t>West, Sabrina; Crowell, Heidi</t>
  </si>
  <si>
    <t>Re: fisher revpL ready for formal HQ transmittal</t>
  </si>
  <si>
    <t>20190817 Fisher revpL.docx</t>
  </si>
  <si>
    <t>DOI briefing paper template for FR docs (eff 6.18.19).docx</t>
  </si>
  <si>
    <t>FOIA-FWS-2020-00724-0002128</t>
  </si>
  <si>
    <t>20190819_Fisher2019revpL_CBP DCC.pdf</t>
  </si>
  <si>
    <t>FOIA-FWS-2020-00724-0002129</t>
  </si>
  <si>
    <t>20190819_Fisher2019revpL_CBP DCC_HCresponse_TRACK CHANGES.pdf</t>
  </si>
  <si>
    <t>FOIA-FWS-2020-00724-0002130</t>
  </si>
  <si>
    <t>20190819_Fisher2019revpL_CBP.pdf</t>
  </si>
  <si>
    <t>FOIA-FWS-2020-00724-0002131</t>
  </si>
  <si>
    <t>20190819_InfoMemo DCC.pdf</t>
  </si>
  <si>
    <t>FOIA-FWS-2020-00724-0002132</t>
  </si>
  <si>
    <t>Millar and Stephenson 2015 Temperate Forest Health.pdf</t>
  </si>
  <si>
    <t>FOIA-FWS-2020-00724-0002133</t>
  </si>
  <si>
    <t>RE: FR reviewed and cited - Invitation to collaborate  The link in this email no longer works. It went to a folder with references cited.</t>
  </si>
  <si>
    <t>FOIA-FWS-2020-00724-0002134</t>
  </si>
  <si>
    <t xml:space="preserve">IMPORTANT---need follow-up surname email Re: PPM Review of West Coast DPS Fisher. Referenced draft document was not maintained with the file. </t>
  </si>
  <si>
    <t>FOIA-FWS-2020-00724-0002135</t>
  </si>
  <si>
    <t>Revised Package Docs for HQ - West Coast DPS of fisher</t>
  </si>
  <si>
    <t>20190724_R1 Concurrence.pdf</t>
  </si>
  <si>
    <t>20190819_Fisher2019revpL_CBP.docx</t>
  </si>
  <si>
    <t>20190819_InfoMemo.docx</t>
  </si>
  <si>
    <t>PPM Review documentation_West Coast DPS fisher revpL.pdf</t>
  </si>
  <si>
    <t>FOIA-FWS-2020-00724-0002140</t>
  </si>
  <si>
    <t>Hutchinson, Jenny L; Schmidt, Gregory</t>
  </si>
  <si>
    <t>Re: Fisher rule References Cited</t>
  </si>
  <si>
    <t>FOIA-FWS-2020-00724-0002141</t>
  </si>
  <si>
    <t>FOIA-FWS-2020-00724-0002142</t>
  </si>
  <si>
    <t>Fwd: Hindmarch, S. and J.E. Elliott. 2018 - is attached</t>
  </si>
  <si>
    <t>Hindmarch, S. and J.E. Elliott. 2018.pdf</t>
  </si>
  <si>
    <t>FOIA-FWS-2020-00724-0002144</t>
  </si>
  <si>
    <t>RE: Fisher rule References Cited</t>
  </si>
  <si>
    <t>FOIA-FWS-2020-00724-0002145</t>
  </si>
  <si>
    <t>RE: Fisher rule References Cited  The link is to a temporary file share that is no longer available. The folder contained the information that was incorporated into the reference Service 2019 which is elsewhere in this FOIA response.</t>
  </si>
  <si>
    <t>FOIA-FWS-2020-00724-0002146</t>
  </si>
  <si>
    <t>Re: latest fisher rule</t>
  </si>
  <si>
    <t>Fisher revised proposed rule KO Comments 20190810_TrackChangesResp.docx</t>
  </si>
  <si>
    <t>FOIA-FWS-2020-00724-0002151</t>
  </si>
  <si>
    <t>AA-pCH Road Map.pdf</t>
  </si>
  <si>
    <t>FOIA-FWS-2020-00724-0002152</t>
  </si>
  <si>
    <t>fisher comments</t>
  </si>
  <si>
    <t>20190516_pCH_template JRG w 5 Factor language_for Adrienne.docx</t>
  </si>
  <si>
    <t>20190817 Fisher revpL DCC sjq.docx</t>
  </si>
  <si>
    <t>foreseeable future template as of August 21.docx</t>
  </si>
  <si>
    <t>FOIA-FWS-2020-00724-0002156</t>
  </si>
  <si>
    <t>Re: FW: revised fisher DPS line</t>
  </si>
  <si>
    <t>FOIA-FWS-2020-00724-0002157</t>
  </si>
  <si>
    <t>Re: fisher critical habitat kick off  The links in the email string are to: https://databasin.org/galleries/b094c161429d4b1791c39dd6fddca12d/ and: https://databasin.org/galleries/d8bc4bfbc59e4acc8e39792c022996b0/#expand=179422,179423,179424,179427,179510 respectively</t>
  </si>
  <si>
    <t>FOIA-FWS-2020-00724-0002158</t>
  </si>
  <si>
    <t>West Coast Fisher DPS shapefile</t>
  </si>
  <si>
    <t>West Coast Fisher DPS 20190823.dbf</t>
  </si>
  <si>
    <t>West Coast Fisher DPS 20190823.prj</t>
  </si>
  <si>
    <t>West Coast Fisher DPS 20190823.sbn</t>
  </si>
  <si>
    <t>West Coast Fisher DPS 20190823.sbx</t>
  </si>
  <si>
    <t>West Coast Fisher DPS 20190823.shp</t>
  </si>
  <si>
    <t>West Coast Fisher DPS 20190823.shp.xml</t>
  </si>
  <si>
    <t>West Coast Fisher DPS 20190823.shx</t>
  </si>
  <si>
    <t>FOIA-FWS-2020-00724-0002166</t>
  </si>
  <si>
    <t>Finley, Laura; Drake, Madeline K; Hull, Josh; Livingston, Sue; Willy, Elizabeth; Russell, Daniel</t>
  </si>
  <si>
    <t>Agenda for 8/27/2019 fisher Team Call</t>
  </si>
  <si>
    <t>FOIA-FWS-2020-00724-0002167</t>
  </si>
  <si>
    <t>Re: IMPORTANT---help with TWO HQ questions in rule, wildfire threat</t>
  </si>
  <si>
    <t>FOIA-FWS-2020-00724-0002168</t>
  </si>
  <si>
    <t>FOIA-FWS-2020-00724-0002169</t>
  </si>
  <si>
    <t>FOIA-FWS-2020-00724-0002170</t>
  </si>
  <si>
    <t>IMPORTANT---help with one HQ questions in rule, TOXICANTS</t>
  </si>
  <si>
    <t>FOIA-FWS-2020-00724-0002171</t>
  </si>
  <si>
    <t>Re: IMPORTANT---help with one HQ questions in rule, TOXICANTS</t>
  </si>
  <si>
    <t>FOIA-FWS-2020-00724-0002172</t>
  </si>
  <si>
    <t>response to first three</t>
  </si>
  <si>
    <t>FOIA-FWS-2020-00724-0002173</t>
  </si>
  <si>
    <t>First subject</t>
  </si>
  <si>
    <t>FOIA-FWS-2020-00724-0002174</t>
  </si>
  <si>
    <t>FOIA-FWS-2020-00724-0002175</t>
  </si>
  <si>
    <t>Fisher REFERENCES CITED---list to update</t>
  </si>
  <si>
    <t>20190823_References Cited.docx</t>
  </si>
  <si>
    <t>FOIA-FWS-2020-00724-0002177</t>
  </si>
  <si>
    <t>LF edits 20190826_TrackChanges_20190819_InfoMemo DCC_SLeds.pdf</t>
  </si>
  <si>
    <t>FOIA-FWS-2020-00724-0002178</t>
  </si>
  <si>
    <t>20190826_TrackChanges_20190819_InfoMemo DCC.pdf</t>
  </si>
  <si>
    <t>FOIA-FWS-2020-00724-0002179</t>
  </si>
  <si>
    <t>FOIA-FWS-2020-00724-0002180</t>
  </si>
  <si>
    <t>Re: fisher comments</t>
  </si>
  <si>
    <t>20190819_Fisher2019revpL_CBP DCC.docx</t>
  </si>
  <si>
    <t>20190819_InfoMemo DCC.docx</t>
  </si>
  <si>
    <t>FOIA-FWS-2020-00724-0002183</t>
  </si>
  <si>
    <t>Re: Fisher REFERENCES CITED---list to update</t>
  </si>
  <si>
    <t>LF edits 20190823_References Cited.docx</t>
  </si>
  <si>
    <t>FOIA-FWS-2020-00724-0002185</t>
  </si>
  <si>
    <t>Re: Info Memo-Fisher</t>
  </si>
  <si>
    <t>FOIA-FWS-2020-00724-0002186</t>
  </si>
  <si>
    <t>Re: SPI CCAA acres</t>
  </si>
  <si>
    <t>FOIA-FWS-2020-00724-0002187</t>
  </si>
  <si>
    <t>Re: IMPORTANT on Monday---help with an HQ question in rule---Voluntary Conservation Measure in NCSO</t>
  </si>
  <si>
    <t>FOIA-FWS-2020-00724-0002188</t>
  </si>
  <si>
    <t>20190827 References Cited.pdf</t>
  </si>
  <si>
    <t>FOIA-FWS-2020-00724-0002189</t>
  </si>
  <si>
    <t>blurb for fisher proposed rule on Safe Harbor Agreement</t>
  </si>
  <si>
    <t>ODF_SHA_FedReg072109.pdf</t>
  </si>
  <si>
    <t>FOIA-FWS-2020-00724-0002191</t>
  </si>
  <si>
    <t>RE: info memo</t>
  </si>
  <si>
    <t>FOIA-FWS-2020-00724-0002192</t>
  </si>
  <si>
    <t>forest industry blurb</t>
  </si>
  <si>
    <t>FOIA-FWS-2020-00724-0002193</t>
  </si>
  <si>
    <t>Your turn</t>
  </si>
  <si>
    <t>LF edits 20190826_TrackChanges_20190819_InfoMemo DCC.docx</t>
  </si>
  <si>
    <t>FOIA-FWS-2020-00724-0002195</t>
  </si>
  <si>
    <t>Re: Your turn</t>
  </si>
  <si>
    <t>FOIA-FWS-2020-00724-0002196</t>
  </si>
  <si>
    <t>Szlemp, Richard</t>
  </si>
  <si>
    <t>RE: SHA #'s</t>
  </si>
  <si>
    <t>FOIA-FWS-2020-00724-0002197</t>
  </si>
  <si>
    <t>20190828_Fisher2019revpL_CBP.pdf</t>
  </si>
  <si>
    <t>FOIA-FWS-2020-00724-0002198</t>
  </si>
  <si>
    <t>info memo</t>
  </si>
  <si>
    <t>LF edits 20190826_TrackChanges_20190819_InfoMemo DCC_SLeds.docx</t>
  </si>
  <si>
    <t>FOIA-FWS-2020-00724-0002200</t>
  </si>
  <si>
    <t>Fwd: [EXTERNAL] Fisher Reintroduction Final Report</t>
  </si>
  <si>
    <t>Annual Report 2017 2019-08-15 FINAL opt.pdf</t>
  </si>
  <si>
    <t>FOIA-FWS-2020-00724-0002202</t>
  </si>
  <si>
    <t>FWS-R8-ES-2018-0105-0097_Att15.pdf</t>
  </si>
  <si>
    <t>FOIA-FWS-2020-00724-0002203</t>
  </si>
  <si>
    <t>Finley, Laura; Fris, Michael; Glenne, Gina</t>
  </si>
  <si>
    <t>Updated invitation: Fisher 4(d) Update Call @ Wed Sep 4, 2019 10am - 10:30am (PDT) (gina_glenne@fws.gov)</t>
  </si>
  <si>
    <t>laura_finley@fws.gov;michael_fris@fws.gov;gina_glenne@fws.gov;jenny_ericson@fws.gov</t>
  </si>
  <si>
    <t>FOIA-FWS-2020-00724-0002205</t>
  </si>
  <si>
    <t>FW: Fisher 4d language</t>
  </si>
  <si>
    <t>FOIA-FWS-2020-00724-0002206</t>
  </si>
  <si>
    <t>Carter, Cheryl; Jordan, Christine J; Johnson, David E; Glenne, Gina; Jones, Jennifer; Ericson, Jenny; Quijada, Juanita; Finley, Laura; Bradford, Misty; Kanim, Nadine; Carey, Robert L; Fogerty, Ryan; Doose, Serena; Galloway, Shaughn L; Hagwood, Sheri; Spengler, Tina M; Super, Trevor</t>
  </si>
  <si>
    <t>FW: [EXTERNAL] Special Journal Issue on Environmental Impacts of Cannabis</t>
  </si>
  <si>
    <t>Cannabis Flyer for CFG Journal.pdf</t>
  </si>
  <si>
    <t>FOIA-FWS-2020-00724-0002208</t>
  </si>
  <si>
    <t>20190910_Schedule.pdf</t>
  </si>
  <si>
    <t>FOIA-FWS-2020-00724-0002209</t>
  </si>
  <si>
    <t>sue_livingston@fws.gov; daniel_russell@fws.gov; elizabeth_willy@fws.gov; josh_hull@fws.gov; jenny_hutchinson@fws.gov; laura_finley@fws.gov; stephanie_eyes@fws.gov; kathleen_brubaker@fws.gov</t>
  </si>
  <si>
    <t>Sept 10 2019 meeting invite</t>
  </si>
  <si>
    <t>sue_livingston@fws.gov;daniel_russell@fws.gov;heidi_crowell@fws.gov;elizabeth_willy@fws.gov;josh_hull@fws.gov;jenny_hutchinson@fws.gov;laura_finley@fws.gov;stephanie_eyes@fws.gov;kathleen_brubaker@fws.gov</t>
  </si>
  <si>
    <t>WestCoastDPS Fisher Team Call invite.ics</t>
  </si>
  <si>
    <t>FOIA-FWS-2020-00724-0002211</t>
  </si>
  <si>
    <t>fisher habitat model methodology</t>
  </si>
  <si>
    <t>Habitat_model_methods_AppB_final_fisher_sp_report.pdf</t>
  </si>
  <si>
    <t>FOIA-FWS-2020-00724-0002213</t>
  </si>
  <si>
    <t>Russell, Daniel; Finley, Laura; Willy, Elizabeth; Livingston, Sue; Hull, Josh; Hutchinson, Jenny L; Schmidt, Gregory; Eyes, Stephanie A</t>
  </si>
  <si>
    <t>Please review--Notes and ACTION ITEMS from 9/10 fisher team call</t>
  </si>
  <si>
    <t>20190910_Notes from Core Team call_action items.docx</t>
  </si>
  <si>
    <t>FOIA-FWS-2020-00724-0002215</t>
  </si>
  <si>
    <t>Re: Fisher Crazy schedule</t>
  </si>
  <si>
    <t>FOIA-FWS-2020-00724-0002216</t>
  </si>
  <si>
    <t>Crowell, Heidi; Livingston, Sue; Willy, Elizabeth; Russell, Daniel; Hull, Josh; Schmidt, Gregory; Eyes, Stephanie A</t>
  </si>
  <si>
    <t>NCSO Core and Linkage map as a starting point.</t>
  </si>
  <si>
    <t>Fisher Habitat Cores and Linkages.jpg</t>
  </si>
  <si>
    <t>FOIA-FWS-2020-00724-0002218</t>
  </si>
  <si>
    <t>fisher connectivity NCSO</t>
  </si>
  <si>
    <t>Klamath Basin Fisher and Marten Connectivity Final Report CBI 2019.pdf</t>
  </si>
  <si>
    <t>FOIA-FWS-2020-00724-0002220</t>
  </si>
  <si>
    <t>Re: NCSO Core and Linkage map as a starting point.</t>
  </si>
  <si>
    <t>FOIA-FWS-2020-00724-0002221</t>
  </si>
  <si>
    <t>Finley, Laura; Crowell, Heidi; Willy, Elizabeth; Russell, Daniel; Hull, Josh; Schmidt, Gregory; Eyes, Stephanie A</t>
  </si>
  <si>
    <t>RE: NCSO Core and Linkage map as a starting point.  The link in this email string works.</t>
  </si>
  <si>
    <t>FOIA-FWS-2020-00724-0002222</t>
  </si>
  <si>
    <t>FOIA-FWS-2020-00724-0002223</t>
  </si>
  <si>
    <t>20190910_Schedule.xlsx</t>
  </si>
  <si>
    <t>FOIA-FWS-2020-00724-0002225</t>
  </si>
  <si>
    <t>RE: IMPORTANT---missing edit in the rule, help with HQ question, veg mgt threat</t>
  </si>
  <si>
    <t>FOIA-FWS-2020-00724-0002226</t>
  </si>
  <si>
    <t>R10 Templat_CH_letter_tribe.pdf</t>
  </si>
  <si>
    <t>FOIA-FWS-2020-00724-0002227</t>
  </si>
  <si>
    <t>Willy, Elizabeth; Garner, Kim</t>
  </si>
  <si>
    <t>syntheses of landscape connectivity analyses in the siskiyou Monument vicinity</t>
  </si>
  <si>
    <t>Frost_etal_2018_SOR_connectivity_synthesis.pdf</t>
  </si>
  <si>
    <t>FOIA-FWS-2020-00724-0002229</t>
  </si>
  <si>
    <t>2018-0816_1340_[EXTERNAL]Additional details - SSN Fisher working group meeting Sept 18-19_03_Att6_SNAMP_FisherHR_RailroadFire.pdf</t>
  </si>
  <si>
    <t>FOIA-FWS-2020-00724-0002230</t>
  </si>
  <si>
    <t>fisher team names for December Comments/Responses Work.  The link in the email is referring to https://www.regulations.gov/docket/FWS-R8-ES-2018-0105</t>
  </si>
  <si>
    <t>FOIA-FWS-2020-00724-0002231</t>
  </si>
  <si>
    <t>Steve Rondeau</t>
  </si>
  <si>
    <t>Elizabeth Willy</t>
  </si>
  <si>
    <t>20190923_0810_Email_FW_ Request for Information on Fisher.pdf</t>
  </si>
  <si>
    <t>Donald Gentry</t>
  </si>
  <si>
    <t>Daniel Blake</t>
  </si>
  <si>
    <t>Fisher pCH information request.pdf</t>
  </si>
  <si>
    <t>FOIA-FWS-2020-00724-0002233</t>
  </si>
  <si>
    <t>Re: Shapefiles for SSN</t>
  </si>
  <si>
    <t>FisherCores.xml</t>
  </si>
  <si>
    <t>FisherCores_feb2014.docx</t>
  </si>
  <si>
    <t>FisherLinkageAreas.xml</t>
  </si>
  <si>
    <t>FisherLinkageAreas_25km_011315.docx</t>
  </si>
  <si>
    <t>0000SSN_Fisher.lyr</t>
  </si>
  <si>
    <t>New_Strategy_extent_dec11_2014.dbf</t>
  </si>
  <si>
    <t>New_Strategy_extent_dec11_2014.prj</t>
  </si>
  <si>
    <t>New_Strategy_extent_dec11_2014.sbn</t>
  </si>
  <si>
    <t>New_Strategy_extent_dec11_2014.sbx</t>
  </si>
  <si>
    <t>New_Strategy_extent_dec11_2014.shp</t>
  </si>
  <si>
    <t>New_Strategy_extent_dec11_2014.shp.xml</t>
  </si>
  <si>
    <t>New_Strategy_extent_dec11_2014.shx</t>
  </si>
  <si>
    <t>FisherCores_feb2014.dbf</t>
  </si>
  <si>
    <t>FisherCores_feb2014.prj</t>
  </si>
  <si>
    <t>FisherCores_feb2014.sbn</t>
  </si>
  <si>
    <t>FisherCores_feb2014.sbx</t>
  </si>
  <si>
    <t>FisherCores_feb2014.shp</t>
  </si>
  <si>
    <t>FisherCores_feb2014.shp.xml</t>
  </si>
  <si>
    <t>FisherCores_feb2014.shx</t>
  </si>
  <si>
    <t>FisherLinkageAreas_25km_011315.dbf</t>
  </si>
  <si>
    <t>FisherLinkageAreas_25km_011315.prj</t>
  </si>
  <si>
    <t>FisherLinkageAreas_25km_011315.sbn</t>
  </si>
  <si>
    <t>FisherLinkageAreas_25km_011315.sbx</t>
  </si>
  <si>
    <t>FisherLinkageAreas_25km_011315.shp</t>
  </si>
  <si>
    <t>FisherLinkageAreas_25km_011315.shp.xml</t>
  </si>
  <si>
    <t>FisherLinkageAreas_25km_011315.shx</t>
  </si>
  <si>
    <t>item.pkinfo</t>
  </si>
  <si>
    <t>iteminfo.xml</t>
  </si>
  <si>
    <t>thumbnail.png</t>
  </si>
  <si>
    <t>FOIA-FWS-2020-00724-0002282</t>
  </si>
  <si>
    <t>Elk Valley Rancheria 2019-0923.pdf</t>
  </si>
  <si>
    <t>FOIA-FWS-2020-00724-0002283</t>
  </si>
  <si>
    <t>20190923_TrackChanges_20190817 Fisher revpL DCC sjq_DRussellHCrowell.pdf</t>
  </si>
  <si>
    <t>FOIA-FWS-2020-00724-0002284</t>
  </si>
  <si>
    <t>Re: HEADS UP - Monday - fisher</t>
  </si>
  <si>
    <t>DATE_TrackChanges_20190817 Fisher revpL DCC sjq_DRussell.docx</t>
  </si>
  <si>
    <t>FOIA-FWS-2020-00724-0002286</t>
  </si>
  <si>
    <t>Sean Mattews; Green, David S; Finley, Laura</t>
  </si>
  <si>
    <t>Fwd: [EXTERNAL] Black Butte Fisher</t>
  </si>
  <si>
    <t>BlackButteSurveyMap.pdf</t>
  </si>
  <si>
    <t>FOIA-FWS-2020-00724-0002288</t>
  </si>
  <si>
    <t>Willy, Elizabeth; Crowell, Heidi; Finley, Laura</t>
  </si>
  <si>
    <t>RE: QUICK/IMPORTANT QUESTION I NEED ANSWERED</t>
  </si>
  <si>
    <t>FOIA-FWS-2020-00724-0002289</t>
  </si>
  <si>
    <t>Fisher is ready to send back to HQ</t>
  </si>
  <si>
    <t>20190819_Fisher2019revpL_CBP DCC_HCresponse_TRACK CHANGES.docx</t>
  </si>
  <si>
    <t>20190827_References Cited.docx</t>
  </si>
  <si>
    <t>20190828_Fisher2019revpL_CBP.docx</t>
  </si>
  <si>
    <t>20190828_Fisher2019revpL_InfoMemo.docx</t>
  </si>
  <si>
    <t>20190923_Fisher revpL.docx</t>
  </si>
  <si>
    <t>20190923_TrackChanges_20190817 Fisher revpL DCC sjq_DRussellHCrowell.docx</t>
  </si>
  <si>
    <t>FOIA-FWS-2020-00724-0002297</t>
  </si>
  <si>
    <t>Fwd: Fisher is ready to send back to HQ</t>
  </si>
  <si>
    <t>FOIA-FWS-2020-00724-0002305</t>
  </si>
  <si>
    <t>Re: Fisher is ready to send back to HQ</t>
  </si>
  <si>
    <t>FOIA-FWS-2020-00724-0002306</t>
  </si>
  <si>
    <t>20190925_Fisher revpL.pdf</t>
  </si>
  <si>
    <t>FOIA-FWS-2020-00724-0002307</t>
  </si>
  <si>
    <t>20190923_TrackChanges_20190817 Fisher revpL DCC sjq_DRussellHCrowellDCC.docx</t>
  </si>
  <si>
    <t>FOIA-FWS-2020-00724-0002309</t>
  </si>
  <si>
    <t>FOIA-FWS-2020-00724-0002310</t>
  </si>
  <si>
    <t>Quamme, Sarah; Fahey, Bridget</t>
  </si>
  <si>
    <t>20190925_Fisher revpL_CLEAN.docx</t>
  </si>
  <si>
    <t>FOIA-FWS-2020-00724-0002313</t>
  </si>
  <si>
    <t>Fahey, Bridget</t>
  </si>
  <si>
    <t>FOIA-FWS-2020-00724-0002314</t>
  </si>
  <si>
    <t>Quamme, Sarah; Crowell, Heidi</t>
  </si>
  <si>
    <t>20190925_Fisher revpL.docx</t>
  </si>
  <si>
    <t>FOIA-FWS-2020-00724-0002316</t>
  </si>
  <si>
    <t>Jennifer Gisler</t>
  </si>
  <si>
    <t>[EXTERNAL] Elk Valley Rancheria, California Request for Consultation re West Coast DPS Fisher</t>
  </si>
  <si>
    <t>EVR Request for Consultation re West Coast DPS Fisher.pdf</t>
  </si>
  <si>
    <t>FOIA-FWS-2020-00724-0002318</t>
  </si>
  <si>
    <t>Re: More recent fisher survey/detection data</t>
  </si>
  <si>
    <t>FOIA-FWS-2020-00724-0002320</t>
  </si>
  <si>
    <t>Projected Fisher HR</t>
  </si>
  <si>
    <t>FisherHomeRanges.dbf</t>
  </si>
  <si>
    <t>FisherHomeRanges.prj</t>
  </si>
  <si>
    <t>FisherHomeRanges.sbn</t>
  </si>
  <si>
    <t>FisherHomeRanges.sbx</t>
  </si>
  <si>
    <t>FisherHomeRanges.shp</t>
  </si>
  <si>
    <t>FisherHomeRanges.shp.xml</t>
  </si>
  <si>
    <t>FisherHomeRanges.shx</t>
  </si>
  <si>
    <t>FOIA-FWS-2020-00724-0002328</t>
  </si>
  <si>
    <t>Requirement to Post Info "Not Readily Available" - Fisher References for Regulations.gov.  The link in the email is referring to https://www.regulations.gov/docket/FWS-R8-ES-2018-0105</t>
  </si>
  <si>
    <t>20160509_Information Disclosure Policy signed.pdf</t>
  </si>
  <si>
    <t>FOIA-FWS-2020-00724-0002331</t>
  </si>
  <si>
    <t>Re: Fisher M3 HR</t>
  </si>
  <si>
    <t>M04T_EstimatedHomeRange.dbf</t>
  </si>
  <si>
    <t>M04T_EstimatedHomeRange.prj</t>
  </si>
  <si>
    <t>M04T_EstimatedHomeRange.sbn</t>
  </si>
  <si>
    <t>M04T_EstimatedHomeRange.sbx</t>
  </si>
  <si>
    <t>M04T_EstimatedHomeRange.shp</t>
  </si>
  <si>
    <t>M04T_EstimatedHomeRange.shp.xml</t>
  </si>
  <si>
    <t>M04T_EstimatedHomeRange.shx</t>
  </si>
  <si>
    <t>FOIA-FWS-2020-00724-0002339</t>
  </si>
  <si>
    <t>FOIA-FWS-2020-00724-0002340</t>
  </si>
  <si>
    <t>RE: [EXTERNAL] Black Butte Fisher</t>
  </si>
  <si>
    <t>FOIA-FWS-2020-00724-0002341</t>
  </si>
  <si>
    <t>FW: Fisher?</t>
  </si>
  <si>
    <t>09180190.JPG</t>
  </si>
  <si>
    <t>09180191.JPG</t>
  </si>
  <si>
    <t>09260364.JPG</t>
  </si>
  <si>
    <t>09260365.JPG</t>
  </si>
  <si>
    <t>09260366.JPG</t>
  </si>
  <si>
    <t>FOIA-FWS-2020-00724-0002347</t>
  </si>
  <si>
    <t>NOTE TO REVIEWERS template(10.1.19).pdf</t>
  </si>
  <si>
    <t>FOIA-FWS-2020-00724-0002348</t>
  </si>
  <si>
    <t>Re: Fisher rule References Cited  The Service 2019b folder contains 51 documents that form the base of the Service 2019b reference.</t>
  </si>
  <si>
    <t>FOIA-FWS-2020-00724-0002349</t>
  </si>
  <si>
    <t>Re: SSN area map pdf available for evaluation</t>
  </si>
  <si>
    <t>Fisher_PCHab_Working_Sierra_LegendExplanation.docx</t>
  </si>
  <si>
    <t>FisherCorridors.docx</t>
  </si>
  <si>
    <t>SSN_Fisher_denning_model_Sept8.docx</t>
  </si>
  <si>
    <t>FOIA-FWS-2020-00724-0002353</t>
  </si>
  <si>
    <t>Burn_Sev_1999.pdf</t>
  </si>
  <si>
    <t>FOIA-FWS-2020-00724-0002354</t>
  </si>
  <si>
    <t>Burn_Sev_2005.pdf</t>
  </si>
  <si>
    <t>FOIA-FWS-2020-00724-0002355</t>
  </si>
  <si>
    <t>Fire_Effects_to_Fisher_Hab2007-2018.pdf</t>
  </si>
  <si>
    <t>FOIA-FWS-2020-00724-0002356</t>
  </si>
  <si>
    <t>ThreatsDirections.pdf</t>
  </si>
  <si>
    <t>FOIA-FWS-2020-00724-0002357</t>
  </si>
  <si>
    <t>FisherCores&amp;Fires.pdf</t>
  </si>
  <si>
    <t>FOIA-FWS-2020-00724-0002359</t>
  </si>
  <si>
    <t>20191003_Fisher revpL PDD comments.pdf</t>
  </si>
  <si>
    <t>FOIA-FWS-2020-00724-0002360</t>
  </si>
  <si>
    <t>20191003_Fisher revpL PDD comments_TRACK CHANGES sjq.pdf</t>
  </si>
  <si>
    <t>FOIA-FWS-2020-00724-0002361</t>
  </si>
  <si>
    <t>Poopatanapong, Anne -FS</t>
  </si>
  <si>
    <t>[EXTERNAL] fisher response</t>
  </si>
  <si>
    <t>FOIA-FWS-2020-00724-0002362</t>
  </si>
  <si>
    <t>FOIA-FWS-2020-00724-0002363</t>
  </si>
  <si>
    <t>Galloway, Shaughn L; Finley, Laura; Ericson, Jenny</t>
  </si>
  <si>
    <t>draft meeting notes</t>
  </si>
  <si>
    <t>20191004_Fuels Programmatic Core Team Meeting.docx</t>
  </si>
  <si>
    <t>FOIA-FWS-2020-00724-0002365</t>
  </si>
  <si>
    <t>Projection_Notes.pdf</t>
  </si>
  <si>
    <t>FOIA-FWS-2020-00724-0002366</t>
  </si>
  <si>
    <t>Fire Threat work for the Fisher Population areas of California.pdf</t>
  </si>
  <si>
    <t>FOIA-FWS-2020-00724-0002367</t>
  </si>
  <si>
    <t>MTBS Burn Area Boundary.pdf</t>
  </si>
  <si>
    <t>FOIA-FWS-2020-00724-0002368</t>
  </si>
  <si>
    <t>MTBS Thematic Burn Severity.pdf</t>
  </si>
  <si>
    <t>FOIA-FWS-2020-00724-0002369</t>
  </si>
  <si>
    <t>Burn_Sev_5yrs.pdf</t>
  </si>
  <si>
    <t>FOIA-FWS-2020-00724-0002370</t>
  </si>
  <si>
    <t>Burn_Sev_1994.pdf</t>
  </si>
  <si>
    <t>FOIA-FWS-2020-00724-0002371</t>
  </si>
  <si>
    <t>Burn_Sev_2001.pdf</t>
  </si>
  <si>
    <t>FOIA-FWS-2020-00724-0002372</t>
  </si>
  <si>
    <t>Burn_Sev_2002.pdf</t>
  </si>
  <si>
    <t>FOIA-FWS-2020-00724-0002373</t>
  </si>
  <si>
    <t>Burn_Sev_2003.pdf</t>
  </si>
  <si>
    <t>FOIA-FWS-2020-00724-0002374</t>
  </si>
  <si>
    <t>Burn_Sev_2006.pdf</t>
  </si>
  <si>
    <t>FOIA-FWS-2020-00724-0002375</t>
  </si>
  <si>
    <t>Burn_Sev_2009.pdf</t>
  </si>
  <si>
    <t>FOIA-FWS-2020-00724-0002376</t>
  </si>
  <si>
    <t>Burn_Sev_2010.pdf</t>
  </si>
  <si>
    <t>FOIA-FWS-2020-00724-0002377</t>
  </si>
  <si>
    <t>Burn_Sev_2011.pdf</t>
  </si>
  <si>
    <t>FOIA-FWS-2020-00724-0002378</t>
  </si>
  <si>
    <t>Burn_Sev_2012.pdf</t>
  </si>
  <si>
    <t>FOIA-FWS-2020-00724-0002379</t>
  </si>
  <si>
    <t>Burn_Sev_2013.pdf</t>
  </si>
  <si>
    <t>FOIA-FWS-2020-00724-0002380</t>
  </si>
  <si>
    <t>Burn_Sev_2014.pdf</t>
  </si>
  <si>
    <t>FOIA-FWS-2020-00724-0002381</t>
  </si>
  <si>
    <t>Burn_Sev_2015.pdf</t>
  </si>
  <si>
    <t>FOIA-FWS-2020-00724-0002382</t>
  </si>
  <si>
    <t>Burn_Sev_2016.pdf</t>
  </si>
  <si>
    <t>FOIA-FWS-2020-00724-0002383</t>
  </si>
  <si>
    <t>Burn_Severity_LUT.pdf</t>
  </si>
  <si>
    <t>FOIA-FWS-2020-00724-0002384</t>
  </si>
  <si>
    <t>CA_WestCoast_Fisher_Pop.pdf</t>
  </si>
  <si>
    <t>FOIA-FWS-2020-00724-0002385</t>
  </si>
  <si>
    <t>CalFire_Threat.pdf</t>
  </si>
  <si>
    <t>FOIA-FWS-2020-00724-0002386</t>
  </si>
  <si>
    <t>CalFire05_Fire_Threat_LUT.pdf</t>
  </si>
  <si>
    <t>FOIA-FWS-2020-00724-0002387</t>
  </si>
  <si>
    <t>Fire_Threat_Map.pdf</t>
  </si>
  <si>
    <t>FOIA-FWS-2020-00724-0002388</t>
  </si>
  <si>
    <t>High Burn Severity_cumulative table.pdf</t>
  </si>
  <si>
    <t>FOIA-FWS-2020-00724-0002389</t>
  </si>
  <si>
    <t>MTBS_Fires_CA_OR_WA_BurnSeverity_Search.pdf</t>
  </si>
  <si>
    <t>FOIA-FWS-2020-00724-0002390</t>
  </si>
  <si>
    <t>USDA FS PSWR 2019-1007.pdf</t>
  </si>
  <si>
    <t>FOIA-FWS-2020-00724-0002391</t>
  </si>
  <si>
    <t>Yocha Dehe 2019-1007.pdf</t>
  </si>
  <si>
    <t>FOIA-FWS-2020-00724-0002392</t>
  </si>
  <si>
    <t>Finley, Laura; Willy, Elizabeth; Livingston, Sue; Eyes, Stephanie A</t>
  </si>
  <si>
    <t>HEADS-UP---fisher revised proposed listing rule edits</t>
  </si>
  <si>
    <t>FOIA-FWS-2020-00724-0002393</t>
  </si>
  <si>
    <t>LF Climate Change Comment.pdf</t>
  </si>
  <si>
    <t>FOIA-FWS-2020-00724-0002394</t>
  </si>
  <si>
    <t>Kolunov_etal_edart2.9_RSE2019_accepted.pdf</t>
  </si>
  <si>
    <t>FOIA-FWS-2020-00724-0002395</t>
  </si>
  <si>
    <t>Suffice et al 2019 habitat climate and fisher and marten distribution.pdf</t>
  </si>
  <si>
    <t>FOIA-FWS-2020-00724-0002396</t>
  </si>
  <si>
    <t>Fwd: Fisher comments</t>
  </si>
  <si>
    <t>20191003_Fisher revpL PDD comments.docx</t>
  </si>
  <si>
    <t>FOIA-FWS-2020-00724-0002398</t>
  </si>
  <si>
    <t>Re: Fisher comments</t>
  </si>
  <si>
    <t>FOIA-FWS-2020-00724-0002400</t>
  </si>
  <si>
    <t>FOIA-FWS-2020-00724-0002401</t>
  </si>
  <si>
    <t>Livingston, Sue; Finley, Laura; Ericson, Jenny; Russell, Daniel; Willy, Elizabeth; Eyes, Stephanie A; Hull, Josh</t>
  </si>
  <si>
    <t>IMPORTANT--Climate Change comment from Margaret and Gary - need suggestions</t>
  </si>
  <si>
    <t>Climate Change Comment.docx</t>
  </si>
  <si>
    <t>FOIA-FWS-2020-00724-0002403</t>
  </si>
  <si>
    <t>Re: IMPORTANT--Climate Change comment from Margaret and Gary - need suggestions</t>
  </si>
  <si>
    <t>FOIA-FWS-2020-00724-0002404</t>
  </si>
  <si>
    <t>Eyes, Stephanie A; Crowell, Heidi</t>
  </si>
  <si>
    <t>FOIA-FWS-2020-00724-0002405</t>
  </si>
  <si>
    <t>Re: IMPORTANT---quick question---citation...</t>
  </si>
  <si>
    <t>CBI 2019 Summary of Recent Fisher Modeling.pdf</t>
  </si>
  <si>
    <t>FOIA-FWS-2020-00724-0002407</t>
  </si>
  <si>
    <t>20191017_Fisher revpL.pdf</t>
  </si>
  <si>
    <t>FOIA-FWS-2020-00724-0002408</t>
  </si>
  <si>
    <t>20191017_Fisher revpL_electronic to OFR_DR_20200110_ZR.pdf</t>
  </si>
  <si>
    <t>FOIA-FWS-2020-00724-0002409</t>
  </si>
  <si>
    <t>20191003_Fisher revpL PDD comments_TRACK CHANGES sjq.docx</t>
  </si>
  <si>
    <t>20191017_Fisher revpL.docx</t>
  </si>
  <si>
    <t>FOIA-FWS-2020-00724-0002412</t>
  </si>
  <si>
    <t>Crowell, Heidi; Finley, Laura; Willy, Elizabeth; Livingston, Sue; Eyes, Stephanie A; Schmidt, Gregory</t>
  </si>
  <si>
    <t>Fwd: 4(d) rules and S7 consultation...I was WRONG! (but...)</t>
  </si>
  <si>
    <t>4d and Sec 7_20191010.docx</t>
  </si>
  <si>
    <t>FOIA-FWS-2020-00724-0002414</t>
  </si>
  <si>
    <t>Finley, Laura; Ericson, Jenny; Carey, Robert L</t>
  </si>
  <si>
    <t>from our discussion this afternoon OFWO coord</t>
  </si>
  <si>
    <t>20191024_Draft_Potential Agenda Items for Coordination with the Oregon FWO.docx</t>
  </si>
  <si>
    <t>FOIA-FWS-2020-00724-0002416</t>
  </si>
  <si>
    <t>20181025_Fisher FR Notice_Note to Reviewer.pdf</t>
  </si>
  <si>
    <t>FOIA-FWS-2020-00724-0002417</t>
  </si>
  <si>
    <t>SL Disease_Predation_FRdocDRAFTtext.pdf</t>
  </si>
  <si>
    <t>FOIA-FWS-2020-00724-0002418</t>
  </si>
  <si>
    <t>SL DRIVE_Comments to Update.pdf</t>
  </si>
  <si>
    <t>FOIA-FWS-2020-00724-0002419</t>
  </si>
  <si>
    <t>FW: Something you could help with - fisher</t>
  </si>
  <si>
    <t>FOIA-FWS-2020-00724-0002420</t>
  </si>
  <si>
    <t>Re: call to discuss dealing with tribes and pCH for the fisher</t>
  </si>
  <si>
    <t>FOIA-FWS-2020-00724-0002421</t>
  </si>
  <si>
    <t>Russell, Daniel; Eyes, Stephanie A; Livingston, Sue; Finley, Laura; Glenne, Gina; Schmidt, Gregory; Willy, Elizabeth</t>
  </si>
  <si>
    <t>Invitation with note: WestCoastDPS Fisher Team Call @ Wed Nov 6, 2019 12pm - 1:30pm (PST) (gina_glenne@fws.gov)</t>
  </si>
  <si>
    <t>daniel_russell@fws.gov;stephanie_eyes@fws.gov;sue_livingston@fws.gov;laura_finley@fws.gov;gina_glenne@fws.gov;heidi_crowell@fws.gov;josh_hull@fws.gov;gregory_schmidt@fws.gov;elizabeth_willy@fws.gov</t>
  </si>
  <si>
    <t>FOIA-FWS-2020-00724-0002423</t>
  </si>
  <si>
    <t>Green Diamond Resource Company Fisher HCP Covered Area geodatabase</t>
  </si>
  <si>
    <t>a00000001.gdbindexes</t>
  </si>
  <si>
    <t>a00000001.gdbtable</t>
  </si>
  <si>
    <t>a00000001.gdbtablx</t>
  </si>
  <si>
    <t>a00000001.TablesByName.atx</t>
  </si>
  <si>
    <t>a00000002.gdbtable</t>
  </si>
  <si>
    <t>a00000002.gdbtablx</t>
  </si>
  <si>
    <t>a0000002a.gdbindexes</t>
  </si>
  <si>
    <t>a0000002a.gdbtable</t>
  </si>
  <si>
    <t>a0000002a.gdbtablx</t>
  </si>
  <si>
    <t>a0000002a.spx</t>
  </si>
  <si>
    <t>a00000003.gdbindexes</t>
  </si>
  <si>
    <t>a00000003.gdbtable</t>
  </si>
  <si>
    <t>a00000003.gdbtablx</t>
  </si>
  <si>
    <t>a00000026.CatItemsByPhysicalName.atx</t>
  </si>
  <si>
    <t>a00000026.CatItemsByType.atx</t>
  </si>
  <si>
    <t>a00000026.FDO_UUID.atx</t>
  </si>
  <si>
    <t>a00000026.freelist</t>
  </si>
  <si>
    <t>a00000026.gdbindexes</t>
  </si>
  <si>
    <t>a00000026.gdbtable</t>
  </si>
  <si>
    <t>a00000026.gdbtablx</t>
  </si>
  <si>
    <t>a00000026.spx</t>
  </si>
  <si>
    <t>a00000027.CatItemTypesByName.atx</t>
  </si>
  <si>
    <t>a00000027.CatItemTypesByParentTypeID.atx</t>
  </si>
  <si>
    <t>a00000027.CatItemTypesByUUID.atx</t>
  </si>
  <si>
    <t>a00000027.gdbindexes</t>
  </si>
  <si>
    <t>a00000027.gdbtable</t>
  </si>
  <si>
    <t>a00000027.gdbtablx</t>
  </si>
  <si>
    <t>a00000028.CatRelsByDestinationID.atx</t>
  </si>
  <si>
    <t>a00000028.CatRelsByOriginID.atx</t>
  </si>
  <si>
    <t>a00000028.CatRelsByType.atx</t>
  </si>
  <si>
    <t>a00000028.FDO_UUID.atx</t>
  </si>
  <si>
    <t>a00000028.gdbindexes</t>
  </si>
  <si>
    <t>a00000028.gdbtable</t>
  </si>
  <si>
    <t>a00000028.gdbtablx</t>
  </si>
  <si>
    <t>a00000029.CatRelTypesByBackwardLabel.atx</t>
  </si>
  <si>
    <t>a00000029.CatRelTypesByDestItemTypeID.atx</t>
  </si>
  <si>
    <t>a00000029.CatRelTypesByForwardLabel.atx</t>
  </si>
  <si>
    <t>a00000029.CatRelTypesByName.atx</t>
  </si>
  <si>
    <t>a00000029.CatRelTypesByOriginItemTypeID.atx</t>
  </si>
  <si>
    <t>a00000029.CatRelTypesByUUID.atx</t>
  </si>
  <si>
    <t>a00000029.gdbindexes</t>
  </si>
  <si>
    <t>a00000029.gdbtable</t>
  </si>
  <si>
    <t>a00000029.gdbtablx</t>
  </si>
  <si>
    <t>timestamps</t>
  </si>
  <si>
    <t>FOIA-FWS-2020-00724-0002468</t>
  </si>
  <si>
    <t>RE: FW: my fisher assignments</t>
  </si>
  <si>
    <t>FOIA-FWS-2020-00724-0002469</t>
  </si>
  <si>
    <t>RE: FW: FW: my fisher assignments</t>
  </si>
  <si>
    <t>FOIA-FWS-2020-00724-0002470</t>
  </si>
  <si>
    <t>pRule</t>
  </si>
  <si>
    <t>20191017_Fisher revpL_electronic to OFR.docx</t>
  </si>
  <si>
    <t>FOIA-FWS-2020-00724-0002472</t>
  </si>
  <si>
    <t>READMe_ReFilesInThisFolder.pdf</t>
  </si>
  <si>
    <t>FOIA-FWS-2020-00724-0002473</t>
  </si>
  <si>
    <t>Re: SCHEDULED TO PUBLISH: West Coast Fisher Revised Proposed Listing and 4(d) Rule  The inks do not work. But, the actual document is available at: https://www.federalregister.gov/documents/2020/05/15/2020-09153/endangered-and-threatened-wildlife-and-plants-endangered-species-status-for-southern-sierra-nevada\</t>
  </si>
  <si>
    <t>FOIA-FWS-2020-00724-0002474</t>
  </si>
  <si>
    <t>Re: Important-comment period change  A copy of this federal register document can be found here: https://www.regulations.gov/document/FWS-R8-ES-2018-0105-0071</t>
  </si>
  <si>
    <t>FOIA-FWS-2020-00724-0002475</t>
  </si>
  <si>
    <t>Kuyper, Richard; Hull, Josh; Norris, Jennifer; Knight, Jan; Snow, Meghan K</t>
  </si>
  <si>
    <t>Fwd: FYI, proposed revised listing of fisher was delivered to OFR last Friday  The links here all work, although not everything that looks like a link, is a link.</t>
  </si>
  <si>
    <t>FOIA-FWS-2020-00724-0002476</t>
  </si>
  <si>
    <t>Henson, Paul; Rowland, Craig; Garner, Kim; Dillon, Jeffrey; Thrailkill, Jim; Szlemp, Richard; Materna, Elizabeth</t>
  </si>
  <si>
    <t>RE: [EXTERNAL] SCHEDULED: Document Number - 2019-23737</t>
  </si>
  <si>
    <t>FOIA-FWS-2020-00724-0002477</t>
  </si>
  <si>
    <t>Fwd: Request PPM Review - Revised Proposed Listing as T, West Coast DPS of Fisher</t>
  </si>
  <si>
    <t>20190808_Fisher2019revpL_with PPM_track changes.docx</t>
  </si>
  <si>
    <t>FOIA-FWS-2020-00724-0002481</t>
  </si>
  <si>
    <t>Re: SCHEDULED TO PUBLISH: West Coast Fisher Revised Proposed Listing and 4(d) Rule</t>
  </si>
  <si>
    <t>Fisher - Communications Strategy - DRAFT CMM.docx</t>
  </si>
  <si>
    <t>Fisher - News Release - DRAFT CMM.docx</t>
  </si>
  <si>
    <t>FOIA-FWS-2020-00724-0002484</t>
  </si>
  <si>
    <t>Re: SCHEDULED TO PUBLISH: West Coast Fisher Revised Proposed Listing and 4(d) Rule  The document discussed in the links can be found here: https://www.regulations.gov/document/FWS-R8-ES-2018-0105-0071</t>
  </si>
  <si>
    <t>FOIA-FWS-2020-00724-0002485</t>
  </si>
  <si>
    <t>Aguilera, Amber</t>
  </si>
  <si>
    <t>Re: Fisher plan</t>
  </si>
  <si>
    <t>FOIA-FWS-2020-00724-0002486</t>
  </si>
  <si>
    <t>Hendron, Jane</t>
  </si>
  <si>
    <t>Fwd: PROOF &amp; COST : draft Legal Notice for U.S. Fish and Wildlife Service  The links in this document all still work.</t>
  </si>
  <si>
    <t>CJB_pL-pch09_legal.doc</t>
  </si>
  <si>
    <t>SAS_BRFI_Rpch09_legal.docx</t>
  </si>
  <si>
    <t>FOIA-FWS-2020-00724-0002489</t>
  </si>
  <si>
    <t>Re: Fisher list SFWO</t>
  </si>
  <si>
    <t>DRAFT-Tribal Notification_CHexample-ssNov2019.docx</t>
  </si>
  <si>
    <t>Fisher-DRAFT Tribal-Letter-short_SSNov2019.docx</t>
  </si>
  <si>
    <t>FOIA-FWS-2020-00724-0002492</t>
  </si>
  <si>
    <t>Glenne, Gina; Finley, Laura; Ericson, Jenny</t>
  </si>
  <si>
    <t>Fwd: Urgent: Fisher Update</t>
  </si>
  <si>
    <t>FOIA-FWS-2020-00724-0002495</t>
  </si>
  <si>
    <t>Re: posting fisher legal notice</t>
  </si>
  <si>
    <t>fisher legal notice DRAFT-ssNov2019.docx</t>
  </si>
  <si>
    <t>FOIA-FWS-2020-00724-0002497</t>
  </si>
  <si>
    <t>FOIA-FWS-2020-00724-0002498</t>
  </si>
  <si>
    <t>FOIA-FWS-2020-00724-0002499</t>
  </si>
  <si>
    <t>Re: Fisher list SFWO.  There are two attachments in this email sting titled "Fisher-DRAFT Tribal-Letter-short_SSNov2019" and "DRAFT-Tribal Notification_CHexample-ssNov2019" which can be found elsewhere in this FOIA response.</t>
  </si>
  <si>
    <t>FOIA-FWS-2020-00724-0002500</t>
  </si>
  <si>
    <t>FOIA-FWS-2020-00724-0002501</t>
  </si>
  <si>
    <t>FOIA-FWS-2020-00724-0002502</t>
  </si>
  <si>
    <t>WOTfA areas to the NCSO</t>
  </si>
  <si>
    <t>NCSO_CHU_103119_WOTFA_20191105.xlsx</t>
  </si>
  <si>
    <t>FOIA-FWS-2020-00724-0002504</t>
  </si>
  <si>
    <t>Re: [EXTERNAL] Re: GIS layers from recent fisher modeling efforts?  The link in this email string works.</t>
  </si>
  <si>
    <t>FOIA-FWS-2020-00724-0002505</t>
  </si>
  <si>
    <t>Materna, Elizabeth</t>
  </si>
  <si>
    <t>Advance Notice: USFWS Proposing to List West Coast DPS of Fisher as Threatened.  The link in the email is referring to https://www.regulations.gov/docket/FWS-R8-ES-2018-0105</t>
  </si>
  <si>
    <t>FOIA-FWS-2020-00724-0002506</t>
  </si>
  <si>
    <t>FOIA-FWS-2020-00724-0002507</t>
  </si>
  <si>
    <t>Advance Notice: USFWS Proposing to List West Coast DPS of Fisher as Threatened. The link in the email is referring to https://www.regulations.gov/docket/FWS-R8-ES-2018-0105</t>
  </si>
  <si>
    <t>FOIA-FWS-2020-00724-0002508</t>
  </si>
  <si>
    <t>FOIA-FWS-2020-00724-0002509</t>
  </si>
  <si>
    <t>NWFP to BLM RMP with WOTFA all in NCSO Units</t>
  </si>
  <si>
    <t>NCSO_CHU_103119_NWFP_BLMRMP_WOTFA_20191105.xlsx</t>
  </si>
  <si>
    <t>FOIA-FWS-2020-00724-0002511</t>
  </si>
  <si>
    <t>Re: SFWO fisher contacts. Referenced list of contacts was not maintained with the file.</t>
  </si>
  <si>
    <t>FOIA-FWS-2020-00724-0002512</t>
  </si>
  <si>
    <t>Hanley, Theresa M</t>
  </si>
  <si>
    <t>FOIA-FWS-2020-00724-0002513</t>
  </si>
  <si>
    <t>Curtis, Erin C</t>
  </si>
  <si>
    <t>Re: FYI: FWS Proposes Revised ESA Protections for Pacific Fisher  The links in this email all still work.</t>
  </si>
  <si>
    <t>FOIA-FWS-2020-00724-0002514</t>
  </si>
  <si>
    <t>Re: Urgent: Fisher Update</t>
  </si>
  <si>
    <t>FOIA-FWS-2020-00724-0002515</t>
  </si>
  <si>
    <t>Fisher_legal notice-ssNov7-2019.pdf</t>
  </si>
  <si>
    <t>FOIA-FWS-2020-00724-0002516</t>
  </si>
  <si>
    <t>Re: fisher hot topic, tribal mailing</t>
  </si>
  <si>
    <t>Fisher Tribal List.xlsx</t>
  </si>
  <si>
    <t>FOIA-FWS-2020-00724-0002518</t>
  </si>
  <si>
    <t>RE: fisher hot topic, tribal mailing</t>
  </si>
  <si>
    <t>00014_20141007_79 FR 60419 Proposed Rule.pdf black pinesnake</t>
  </si>
  <si>
    <t>00019_20160418_81 FR 22710 Withdrawal.pdf</t>
  </si>
  <si>
    <t>FOIA-FWS-2020-00724-0002521</t>
  </si>
  <si>
    <t>Glenne, Gina; Livingston, Sue; Eyes, Stephanie A; Finley, Laura; Schmidt, Gregory</t>
  </si>
  <si>
    <t>found the PBFs</t>
  </si>
  <si>
    <t>FOIA-FWS-2020-00724-0002522</t>
  </si>
  <si>
    <t>20191106_Information we are requesting for fisher.docx</t>
  </si>
  <si>
    <t>FOIA-FWS-2020-00724-0002524</t>
  </si>
  <si>
    <t>CSO Tribal Letter Template.docx</t>
  </si>
  <si>
    <t>FOIA-FWS-2020-00724-0002526</t>
  </si>
  <si>
    <t>Sawyer, Susan; Finley, Laura; Ericson, Jenny</t>
  </si>
  <si>
    <t>FOIA-FWS-2020-00724-0002527</t>
  </si>
  <si>
    <t>RE: fisher photo</t>
  </si>
  <si>
    <t>F26 at summer rest site_PSW_remote_camera_2013_RGreen.JPG</t>
  </si>
  <si>
    <t>F27 moving kit from natal den_PSW_remote_camera_RGreen.JPG</t>
  </si>
  <si>
    <t>F28 in natal den tree_2013_RGreen.JPG</t>
  </si>
  <si>
    <t>F51 sideview at base of maternal den_PSW_remote_camera_2014_RGreen.JPG</t>
  </si>
  <si>
    <t>F55 moving kit from maternal den_PSW_remote_camera_2013_RGreen.jpg</t>
  </si>
  <si>
    <t>M55 resting up in Incense Cedar_2014_RGreen.JPG</t>
  </si>
  <si>
    <t>These photos were provided by Rebecca Green on 8.docx</t>
  </si>
  <si>
    <t>FOIA-FWS-2020-00724-0002535</t>
  </si>
  <si>
    <t>Snow, Meghan K; Materna, Elizabeth</t>
  </si>
  <si>
    <t>Re: California Spotted Owl: Reading Room tomorrow!</t>
  </si>
  <si>
    <t>Fisher_legal notice-ssNov7-2019.docx</t>
  </si>
  <si>
    <t>FOIA-FWS-2020-00724-0002537</t>
  </si>
  <si>
    <t>FOIA-FWS-2020-00724-0002539</t>
  </si>
  <si>
    <t>FW: Lone Rock shapefile</t>
  </si>
  <si>
    <t>LRR_Lands_0318.dbf</t>
  </si>
  <si>
    <t>LRR_Lands_0318.prj</t>
  </si>
  <si>
    <t>LRR_Lands_0318.shp</t>
  </si>
  <si>
    <t>LRR_Lands_0318.shx</t>
  </si>
  <si>
    <t>FOIA-FWS-2020-00724-0002544</t>
  </si>
  <si>
    <t>RoseburgLands.dbf</t>
  </si>
  <si>
    <t>RoseburgLands.prj</t>
  </si>
  <si>
    <t>RoseburgLands.sbn</t>
  </si>
  <si>
    <t>RoseburgLands.sbx</t>
  </si>
  <si>
    <t>RoseburgLands.shp</t>
  </si>
  <si>
    <t>RoseburgLands.shx</t>
  </si>
  <si>
    <t>FOIA-FWS-2020-00724-0002551</t>
  </si>
  <si>
    <t>LRR_Lands_0919.dbf</t>
  </si>
  <si>
    <t>LRR_Lands_0919.prj</t>
  </si>
  <si>
    <t>LRR_Lands_0919.shp</t>
  </si>
  <si>
    <t>LRR_Lands_0919.shx</t>
  </si>
  <si>
    <t>FOIA-FWS-2020-00724-0002556</t>
  </si>
  <si>
    <t>FOIA-FWS-2020-00724-0002557</t>
  </si>
  <si>
    <t>FWS-R8-ES-2018-0105-0076.pdf</t>
  </si>
  <si>
    <t>FOIA-FWS-2020-00724-0002558</t>
  </si>
  <si>
    <t>Proposed Rule.zip</t>
  </si>
  <si>
    <t>FOIA-FWS-2020-00724-0002559</t>
  </si>
  <si>
    <t>FOIA-FWS-2020-00724-0002560</t>
  </si>
  <si>
    <t>Colleen Roberts</t>
  </si>
  <si>
    <t>Re: [EXTERNAL] RE: USFWS Proposing to List West Coast DPS of Fisher as Threatened.  The links in this email all work.</t>
  </si>
  <si>
    <t>Fisher 4d.docx</t>
  </si>
  <si>
    <t>FOIA-FWS-2020-00724-0002562</t>
  </si>
  <si>
    <t>Fwd: [EXTERNAL] FW: Findings: Fisher PT and CSO Not Warranted  The links in this email string all work.</t>
  </si>
  <si>
    <t>FOIA-FWS-2020-00724-0002563</t>
  </si>
  <si>
    <t>Revised Proposed Rule to List the West Coast DPS of Fisher</t>
  </si>
  <si>
    <t>NOV2019_Fisher Proposed Rule_Tribal.docx</t>
  </si>
  <si>
    <t>FOIA-FWS-2020-00724-0002565</t>
  </si>
  <si>
    <t>Heather Rustigian-Romsos</t>
  </si>
  <si>
    <t>Re: [EXTERNAL] Re: GIS layers from recent fisher modeling efforts?  The links in this email string all work.</t>
  </si>
  <si>
    <t>FOIA-FWS-2020-00724-0002566</t>
  </si>
  <si>
    <t>FWS-R8-ES-2018-0105-0077.pdf</t>
  </si>
  <si>
    <t>FOIA-FWS-2020-00724-0002567</t>
  </si>
  <si>
    <t>FWS-R8-ES-2018-0105-0078.pdf</t>
  </si>
  <si>
    <t>FOIA-FWS-2020-00724-0002568</t>
  </si>
  <si>
    <t>Re: my struggles to understand the 5 females/core</t>
  </si>
  <si>
    <t>FOIA-FWS-2020-00724-0002569</t>
  </si>
  <si>
    <t>BoS talking points so far</t>
  </si>
  <si>
    <t>FOIA-FWS-2020-00724-0002570</t>
  </si>
  <si>
    <t>FWS-R8-ES-2018-0105-0119_Att2.pdf</t>
  </si>
  <si>
    <t>FOIA-FWS-2020-00724-0002571</t>
  </si>
  <si>
    <t>Re: Data question on Fisher stuff</t>
  </si>
  <si>
    <t>FOIA-FWS-2020-00724-0002572</t>
  </si>
  <si>
    <t>Center, Scott</t>
  </si>
  <si>
    <t>Fisher DPS map</t>
  </si>
  <si>
    <t>Oregon portion of Fisher west coast DPS.pdf</t>
  </si>
  <si>
    <t>FOIA-FWS-2020-00724-0002574</t>
  </si>
  <si>
    <t>FOIA-FWS-2020-00724-0002575</t>
  </si>
  <si>
    <t>RE: Fisher DPS map</t>
  </si>
  <si>
    <t>FOIA-FWS-2020-00724-0002576</t>
  </si>
  <si>
    <t>gmutch@chicoer.com</t>
  </si>
  <si>
    <t>[EXTERNAL] Re: Legal notice needed for U.S. FWS</t>
  </si>
  <si>
    <t>Public Notice - Revised Proposed Rule.pdf</t>
  </si>
  <si>
    <t>FOIA-FWS-2020-00724-0002578</t>
  </si>
  <si>
    <t>[EXTERNAL] Ad #6425249</t>
  </si>
  <si>
    <t>Ad 36425249.pdf</t>
  </si>
  <si>
    <t>FOIA-FWS-2020-00724-0002580</t>
  </si>
  <si>
    <t>Eyes, Stephanie A; Russell, Daniel; Bierce, Pamela</t>
  </si>
  <si>
    <t>Re: IMPORTANT---file link not working</t>
  </si>
  <si>
    <t>20160331_Final Fisher Species Report.pdf</t>
  </si>
  <si>
    <t>FOIA-FWS-2020-00724-0002582</t>
  </si>
  <si>
    <t>Fwd: SSN fisher conference opinion The link in this email string still works.</t>
  </si>
  <si>
    <t>Fisher SN BA - draft 111219.docx</t>
  </si>
  <si>
    <t>FOIA-FWS-2020-00724-0002584</t>
  </si>
  <si>
    <t>Crowell, Heidi; Livingston, Sue</t>
  </si>
  <si>
    <t>Updated units map with model and DPS line</t>
  </si>
  <si>
    <t>Fisher_PCHab_NCSO_Units.pdf</t>
  </si>
  <si>
    <t>FOIA-FWS-2020-00724-0002586</t>
  </si>
  <si>
    <t>Public comment</t>
  </si>
  <si>
    <t>FOIA-FWS-2020-00724-0002587</t>
  </si>
  <si>
    <t>FWS-R8-ES-2018-0105-0081.pdf</t>
  </si>
  <si>
    <t>FOIA-FWS-2020-00724-0002588</t>
  </si>
  <si>
    <t>FWS-R8-ES-2018-0105-0082.pdf</t>
  </si>
  <si>
    <t>FOIA-FWS-2020-00724-0002589</t>
  </si>
  <si>
    <t>FWS-R8-ES-2018-0105-0084.pdf</t>
  </si>
  <si>
    <t>FOIA-FWS-2020-00724-0002590</t>
  </si>
  <si>
    <t>FWS-R8-ES-2018-0105-0085.pdf</t>
  </si>
  <si>
    <t>FOIA-FWS-2020-00724-0002591</t>
  </si>
  <si>
    <t>FWS-R8-ES-2018-0105-0119_Att3.pdf</t>
  </si>
  <si>
    <t>FOIA-FWS-2020-00724-0002592</t>
  </si>
  <si>
    <t>[EXTERNAL] RE: ESA Revised Proposed Rule for Fishers Published  This link works.</t>
  </si>
  <si>
    <t>FOIA-FWS-2020-00724-0002593</t>
  </si>
  <si>
    <t>Willy, Elizabeth; Finley, Laura; Jeff Lewis</t>
  </si>
  <si>
    <t>FW: fisher sighting at Conboy Lake NWR. The WDFW, NPS, and Conservation Northwest links go to each agencies respective facebook page. The onservationnw.org link still works.</t>
  </si>
  <si>
    <t>fisherConboyLakeNWR.jpg</t>
  </si>
  <si>
    <t>FOIA-FWS-2020-00724-0002595</t>
  </si>
  <si>
    <t>Lynch, James M.</t>
  </si>
  <si>
    <t>[EXTERNAL] CFA Request for Extension (Fisher Proposed Listing)</t>
  </si>
  <si>
    <t>CFA Request for Extension_Fisher Proposed Listing.pdf</t>
  </si>
  <si>
    <t>FOIA-FWS-2020-00724-0002597</t>
  </si>
  <si>
    <t>Re: [EXTERNAL] Request for Extension of Comment Period (Fisher)</t>
  </si>
  <si>
    <t>20191107 Revised Proposed rule FR Notice.pdf</t>
  </si>
  <si>
    <t>FOIA-FWS-2020-00724-0002599</t>
  </si>
  <si>
    <t>Finley, Laura; Glenne, Gina; Willy, Elizabeth; Eyes, Stephanie A; Livingston, Sue</t>
  </si>
  <si>
    <t>Directions for Addressing Fisher Comments---past and upcoming comments</t>
  </si>
  <si>
    <t>IRAC.pdf</t>
  </si>
  <si>
    <t>FOIA-FWS-2020-00724-0002602</t>
  </si>
  <si>
    <t>Fwd: [EXTERNAL] Re: Fisher survey/detection database</t>
  </si>
  <si>
    <t>FOIA-FWS-2020-00724-0002603</t>
  </si>
  <si>
    <t>My comments to update.pdf</t>
  </si>
  <si>
    <t>FOIA-FWS-2020-00724-0002604</t>
  </si>
  <si>
    <t>Livingston, Sue; Finley, Laura; Eyes, Stephanie A; Willy, Elizabeth; Russell, Daniel</t>
  </si>
  <si>
    <t>Re: Directions for Addressing Fisher Comments---past and upcoming comments</t>
  </si>
  <si>
    <t>FOIA-FWS-2020-00724-0002605</t>
  </si>
  <si>
    <t>Re: [EXTERNAL] Re: my struggles to understand the 5 females/core</t>
  </si>
  <si>
    <t>FOIA-FWS-2020-00724-0002606</t>
  </si>
  <si>
    <t>FOIA-FWS-2020-00724-0002607</t>
  </si>
  <si>
    <t>Happe, Patricia J</t>
  </si>
  <si>
    <t>Radmer, Zachary; Finley, Laura; Carrie Clendaniel; Kim Sager; Dave Manson; Piper, Susan D -FS; Howell, Betsy L -FS; Shannon Murphie; Garrett Rasmussen; Phillips, Kristen; Bethany Tropp; Bryan Murphie; Anita McMillan; Shelley Ament; Cathy Raley; Aubry, Keith - FS</t>
  </si>
  <si>
    <t>Olympic Fisher Occupancy Paper</t>
  </si>
  <si>
    <t>Occ. patterns in reintroduced fisher pop.2019.JWM.published.pdf</t>
  </si>
  <si>
    <t>FOIA-FWS-2020-00724-0002609</t>
  </si>
  <si>
    <t>FWS-R8-ES-2018-0105-0151_Att1.pdf</t>
  </si>
  <si>
    <t>FOIA-FWS-2020-00724-0002610</t>
  </si>
  <si>
    <t>Re: [EXTERNAL] Fisher information request question</t>
  </si>
  <si>
    <t>FOIA-FWS-2020-00724-0002611</t>
  </si>
  <si>
    <t>Anderson, Hannah E (DFW); Lewis, Jeffrey C (DFW); Chestnut, Tara E; Ransom, Jason I; Happe, Patricia J</t>
  </si>
  <si>
    <t>Interested in submitting comments during the open comment period for the revised proposed fisher rule?</t>
  </si>
  <si>
    <t>Moriarty etal 2019_NWSci vol 93-2 pp 122-136.pdf</t>
  </si>
  <si>
    <t>Proposed_rule_comments_from_WDFW_2_Feb_2015_to_Nate.pdf</t>
  </si>
  <si>
    <t>Warheit 2004 Fisher genetic report.doc</t>
  </si>
  <si>
    <t>FOIA-FWS-2020-00724-0002615</t>
  </si>
  <si>
    <t>Chip Murray</t>
  </si>
  <si>
    <t>[EXTERNAL] Request for extension on proposed fisher listing</t>
  </si>
  <si>
    <t>NAFO Request for extension.pdf</t>
  </si>
  <si>
    <t>FOIA-FWS-2020-00724-0002617</t>
  </si>
  <si>
    <t>MP6054@fws.gov</t>
  </si>
  <si>
    <t>Message from "RNP002673ABF177"</t>
  </si>
  <si>
    <t>20191121155549034.pdf</t>
  </si>
  <si>
    <t>FOIA-FWS-2020-00724-0002619</t>
  </si>
  <si>
    <t>BLM_O&amp;C_opinion_2019_DN 55_Memorandum Opinion.pdf</t>
  </si>
  <si>
    <t>FOIA-FWS-2020-00724-0002620</t>
  </si>
  <si>
    <t>Martha Wehling</t>
  </si>
  <si>
    <t>Everson, Margaret E; Souza, Paul; Ericson, Jenny</t>
  </si>
  <si>
    <t>[EXTERNAL] Request for 90-day extension on fisher comment period</t>
  </si>
  <si>
    <t>WFPA2ndFisherExtComment2019.pdf</t>
  </si>
  <si>
    <t>FOIA-FWS-2020-00724-0002622</t>
  </si>
  <si>
    <t>RE: [EXTERNAL] fisher proposed rule</t>
  </si>
  <si>
    <t>FOIA-FWS-2020-00724-0002623</t>
  </si>
  <si>
    <t>MJ info for 12_5</t>
  </si>
  <si>
    <t>FOIA-FWS-2020-00724-0002627</t>
  </si>
  <si>
    <t>0112a-FWSlisting_fishers_20191124.pdf</t>
  </si>
  <si>
    <t>FOIA-FWS-2020-00724-0002628</t>
  </si>
  <si>
    <t>FWS-R8-ES-2018-0105-0147_Att1.pdf</t>
  </si>
  <si>
    <t>FOIA-FWS-2020-00724-0002629</t>
  </si>
  <si>
    <t>fisher draft extension memo</t>
  </si>
  <si>
    <t>20191125_fisher extension request memo.docx</t>
  </si>
  <si>
    <t>FOIA-FWS-2020-00724-0002631</t>
  </si>
  <si>
    <t>FWS-R8-ES-2018-0105-0086.pdf</t>
  </si>
  <si>
    <t>FOIA-FWS-2020-00724-0002632</t>
  </si>
  <si>
    <t>FWS-R8-ES-2018-0105-0086_Att1.pdf</t>
  </si>
  <si>
    <t>FOIA-FWS-2020-00724-0002633</t>
  </si>
  <si>
    <t>FWS-R8-ES-2018-0105-0087.pdf</t>
  </si>
  <si>
    <t>FOIA-FWS-2020-00724-0002634</t>
  </si>
  <si>
    <t>FWS-R8-ES-2018-0105-0088.pdf</t>
  </si>
  <si>
    <t>FOIA-FWS-2020-00724-0002635</t>
  </si>
  <si>
    <t>FWS-R8-ES-2018-0105-0089.pdf</t>
  </si>
  <si>
    <t>FOIA-FWS-2020-00724-0002636</t>
  </si>
  <si>
    <t>FWS-R8-ES-2018-0105-0089_Att1.pdf</t>
  </si>
  <si>
    <t>FOIA-FWS-2020-00724-0002637</t>
  </si>
  <si>
    <t>Goldfarb, Joan R</t>
  </si>
  <si>
    <t>Re: fisher draft extension memo</t>
  </si>
  <si>
    <t>20191125_fisher extension request memo_cjg.docx</t>
  </si>
  <si>
    <t>FOIA-FWS-2020-00724-0002639</t>
  </si>
  <si>
    <t>Migala, Rebecca</t>
  </si>
  <si>
    <t>Galst, Carey</t>
  </si>
  <si>
    <t>Re: question on fisher 4d</t>
  </si>
  <si>
    <t>FOIA-FWS-2020-00724-0002640</t>
  </si>
  <si>
    <t>Frazer, Gary D</t>
  </si>
  <si>
    <t>Proposed Extension for Fisher final determination</t>
  </si>
  <si>
    <t>Fisher extension memo to Director.pdf</t>
  </si>
  <si>
    <t>FOIA-FWS-2020-00724-0002642</t>
  </si>
  <si>
    <t>FLA Request for Extension.pdf</t>
  </si>
  <si>
    <t>Lauren Ward</t>
  </si>
  <si>
    <t>[EXTERNAL] Request for extension of comment period for Pacific fisher</t>
  </si>
  <si>
    <t>FOIA-FWS-2020-00724-0002644</t>
  </si>
  <si>
    <t>[EXTERNAL] Request for extension of comment period- Fisher</t>
  </si>
  <si>
    <t>Request for extension_fisher comment period.pdf</t>
  </si>
  <si>
    <t>FOIA-FWS-2020-00724-0002646</t>
  </si>
  <si>
    <t>FW:</t>
  </si>
  <si>
    <t>carr_fire.lyrx</t>
  </si>
  <si>
    <t>a00000004.CatItemsByPhysicalName.atx</t>
  </si>
  <si>
    <t>a00000004.CatItemsByType.atx</t>
  </si>
  <si>
    <t>a00000004.FDO_UUID.atx</t>
  </si>
  <si>
    <t>a00000004.gdbindexes</t>
  </si>
  <si>
    <t>a00000004.gdbtable</t>
  </si>
  <si>
    <t>a00000004.gdbtablx</t>
  </si>
  <si>
    <t>a00000004.spx</t>
  </si>
  <si>
    <t>a00000005.CatItemTypesByName.atx</t>
  </si>
  <si>
    <t>a00000005.CatItemTypesByParentTypeID.atx</t>
  </si>
  <si>
    <t>a00000005.CatItemTypesByUUID.atx</t>
  </si>
  <si>
    <t>a00000005.gdbindexes</t>
  </si>
  <si>
    <t>a00000005.gdbtable</t>
  </si>
  <si>
    <t>a00000005.gdbtablx</t>
  </si>
  <si>
    <t>a00000006.CatRelsByDestinationID.atx</t>
  </si>
  <si>
    <t>a00000006.CatRelsByOriginID.atx</t>
  </si>
  <si>
    <t>a00000006.CatRelsByType.atx</t>
  </si>
  <si>
    <t>a00000006.FDO_UUID.atx</t>
  </si>
  <si>
    <t>a00000006.gdbindexes</t>
  </si>
  <si>
    <t>a00000006.gdbtable</t>
  </si>
  <si>
    <t>a00000006.gdbtablx</t>
  </si>
  <si>
    <t>a00000007.CatRelTypesByBackwardLabel.atx</t>
  </si>
  <si>
    <t>a00000007.CatRelTypesByDestItemTypeID.atx</t>
  </si>
  <si>
    <t>a00000007.CatRelTypesByForwardLabel.atx</t>
  </si>
  <si>
    <t>a00000007.CatRelTypesByName.atx</t>
  </si>
  <si>
    <t>a00000007.CatRelTypesByOriginItemTypeID.atx</t>
  </si>
  <si>
    <t>a00000007.CatRelTypesByUUID.atx</t>
  </si>
  <si>
    <t>a00000007.gdbindexes</t>
  </si>
  <si>
    <t>a00000007.gdbtable</t>
  </si>
  <si>
    <t>a00000007.gdbtablx</t>
  </si>
  <si>
    <t>a00000009.FDO_GlobalID.atx</t>
  </si>
  <si>
    <t>a00000009.gdbindexes</t>
  </si>
  <si>
    <t>a00000009.gdbtable</t>
  </si>
  <si>
    <t>a00000009.gdbtablx</t>
  </si>
  <si>
    <t>a00000009.spx</t>
  </si>
  <si>
    <t>NCSO_CHUs_10419.lyrx</t>
  </si>
  <si>
    <t>NCSOCHUs10419_Dissolve.lyrx</t>
  </si>
  <si>
    <t>FOIA-FWS-2020-00724-0002916</t>
  </si>
  <si>
    <t>FWS-R8-ES-2018-0105-0090.pdf</t>
  </si>
  <si>
    <t>FOIA-FWS-2020-00724-0002917</t>
  </si>
  <si>
    <t>20191127_Fisher2019revpL_CBP for comment extension.pdf</t>
  </si>
  <si>
    <t>FOIA-FWS-2020-00724-0002918</t>
  </si>
  <si>
    <t>20191127_Fisher2019revpL_InfoMemo to accompany comment ext request.pdf</t>
  </si>
  <si>
    <t>FOIA-FWS-2020-00724-0002919</t>
  </si>
  <si>
    <t>Parks Gilbert</t>
  </si>
  <si>
    <t>Fisher extension materials</t>
  </si>
  <si>
    <t>20191127_Fisher2019revpL_CBP for comment extension.docx</t>
  </si>
  <si>
    <t>20191127_Fisher2019revpL_InfoMemo to accompany comment ext request.docx</t>
  </si>
  <si>
    <t>FOIA-FWS-2020-00724-0002922</t>
  </si>
  <si>
    <t>Goldfarb, Joan R; Long, Michael J; Russell, Daniel; Gilbert, Parks</t>
  </si>
  <si>
    <t xml:space="preserve">Fwd: [EXTERNAL] FW: Activity in Case 3:16-cv-06040-WHA Center For Biological Diversity et al v. Fish and Wildlife Services of the United States et al Stipulation  The links in this email don't work except for the "Local Rule 5-5" which is court housekeeping at:  https://www.cand.uscourts.gov/rules/civil-local-rules/#SERVICE </t>
  </si>
  <si>
    <t>FOIA-FWS-2020-00724-0002923</t>
  </si>
  <si>
    <t>Comments December 2019.pdf</t>
  </si>
  <si>
    <t>FOIA-FWS-2020-00724-0002924</t>
  </si>
  <si>
    <t>Comments December 2019_My_Subjects.pdf</t>
  </si>
  <si>
    <t>FOIA-FWS-2020-00724-0002925</t>
  </si>
  <si>
    <t>Comments December 2019_Original.pdf</t>
  </si>
  <si>
    <t>FOIA-FWS-2020-00724-0002926</t>
  </si>
  <si>
    <t>Comments January 2020_My_Subjects.pdf</t>
  </si>
  <si>
    <t>FOIA-FWS-2020-00724-0002927</t>
  </si>
  <si>
    <t>FOIA-FWS-2020-00724-0002928</t>
  </si>
  <si>
    <t>0098a-Comments_on_proposed_rule.pdf</t>
  </si>
  <si>
    <t>FOIA-FWS-2020-00724-0002929</t>
  </si>
  <si>
    <t>2019_ProposedRuleComments_ Jtucker.pdf</t>
  </si>
  <si>
    <t>FOIA-FWS-2020-00724-0002930</t>
  </si>
  <si>
    <t>FWS-R8-ES-2018-0105-0092_Att1.pdf</t>
  </si>
  <si>
    <t>FOIA-FWS-2020-00724-0002931</t>
  </si>
  <si>
    <t>Found a mis-labeled fisher comment related to distribution - your subject</t>
  </si>
  <si>
    <t>FOIA-FWS-2020-00724-0002932</t>
  </si>
  <si>
    <t>Fwd: In case you need it (possible fisher extension)</t>
  </si>
  <si>
    <t>fisher extension draft.docx</t>
  </si>
  <si>
    <t>FOIA-FWS-2020-00724-0002934</t>
  </si>
  <si>
    <t>Fwd: [EXTERNAL] Re: request for trespass grow site probability model spatial layers?</t>
  </si>
  <si>
    <t>FOIA-FWS-2020-00724-0002935</t>
  </si>
  <si>
    <t>DPS Boundary</t>
  </si>
  <si>
    <t>DPS_Boundary_111319.dbf</t>
  </si>
  <si>
    <t>DPS_Boundary_111319.prj</t>
  </si>
  <si>
    <t>DPS_Boundary_111319.sbn</t>
  </si>
  <si>
    <t>DPS_Boundary_111319.sbx</t>
  </si>
  <si>
    <t>DPS_Boundary_111319.shp</t>
  </si>
  <si>
    <t>DPS_Boundary_111319.shp.xml</t>
  </si>
  <si>
    <t>DPS_Boundary_111319.shx</t>
  </si>
  <si>
    <t>FOIA-FWS-2020-00724-0002943</t>
  </si>
  <si>
    <t>agenda for meeting with Jen with summary of notes</t>
  </si>
  <si>
    <t>20191106_Agenda_SFWOFieldSupervisorFisherCHUDiscussion.docx</t>
  </si>
  <si>
    <t>FOIA-FWS-2020-00724-0002945</t>
  </si>
  <si>
    <t>Re: Fisher extension</t>
  </si>
  <si>
    <t>FOIA-FWS-2020-00724-0002946</t>
  </si>
  <si>
    <t>NCSO New Units colors to match your Methods</t>
  </si>
  <si>
    <t>Fisher_NCSO_Units.pdf</t>
  </si>
  <si>
    <t>Fisher_NCSO_Units_CExclusions.pdf</t>
  </si>
  <si>
    <t>FOIA-FWS-2020-00724-0002949</t>
  </si>
  <si>
    <t>Goldfarb, Joan R; Gilbert, Parks; Fris, Michael; Senn, Michael J; Long, Michael J; Russell, Daniel</t>
  </si>
  <si>
    <t>Fwd: [EXTERNAL] FW: Activity in Case 3:16-cv-06040-WHA Center For Biological Diversity et al v. Fish and Wildlife Services of the United States et al Order on Stipulation  The links in this email don't work except for the "Local Rule 5-5" which is court housekeeping at:  https://www.cand.uscourts.gov/rules/civil-local-rules/#SERVICE  We assume the other links that don't work access the attached document.</t>
  </si>
  <si>
    <t>ECF 115.pdf</t>
  </si>
  <si>
    <t>FOIA-FWS-2020-00724-0002951</t>
  </si>
  <si>
    <t>Re: NCSO New Units colors to match your Methods</t>
  </si>
  <si>
    <t>Fisher_NCSO_Units_Blue.pdf</t>
  </si>
  <si>
    <t>Fisher_NCSO_Units_CaribbeanPurple.pdf</t>
  </si>
  <si>
    <t>Fisher_NCSO_Units_CyanPurple.pdf</t>
  </si>
  <si>
    <t>Fisher_NCSO_Units_Mango.pdf</t>
  </si>
  <si>
    <t>Fisher_NCSO_Units_Purple.pdf</t>
  </si>
  <si>
    <t>Fisher_NCSO_Units_Yellow.pdf</t>
  </si>
  <si>
    <t>FOIA-FWS-2020-00724-0002958</t>
  </si>
  <si>
    <t>All this work is in the following folder.pdf</t>
  </si>
  <si>
    <t>FOIA-FWS-2020-00724-0002959</t>
  </si>
  <si>
    <t>Comments to Update.pdf</t>
  </si>
  <si>
    <t>FOIA-FWS-2020-00724-0002960</t>
  </si>
  <si>
    <t>Re: [EXTERNAL] FW: Activity in Case 3:16-cv-06040-WHA Center For Biological Diversity et al v. Fish and Wildlife Services of the United States et al Order on Stipulation  The links in this email don't work except for the "Local Rule 5-5" which is court housekeeping at:  https://www.cand.uscourts.gov/rules/civil-local-rules/#SERVICE  We assume the other links that don't work access the attached document.</t>
  </si>
  <si>
    <t>FOIA-FWS-2020-00724-0002961</t>
  </si>
  <si>
    <t>Fisher_NCSO_Units_Green_test.pdf</t>
  </si>
  <si>
    <t>FOIA-FWS-2020-00724-0002963</t>
  </si>
  <si>
    <t>00338_Lewis etal 2012a Carnivore Translocations and Conservation Population Models and Field Data.pdf</t>
  </si>
  <si>
    <t>Contracted_range_revised_25Sep08_erase.dbf</t>
  </si>
  <si>
    <t>Contracted_range_revised_25Sep08_erase.prj</t>
  </si>
  <si>
    <t>Contracted_range_revised_25Sep08_erase.sbn</t>
  </si>
  <si>
    <t>Contracted_range_revised_25Sep08_erase.sbx</t>
  </si>
  <si>
    <t>Contracted_range_revised_25Sep08_erase.shp</t>
  </si>
  <si>
    <t>Contracted_range_revised_25Sep08_erase.shp.xml</t>
  </si>
  <si>
    <t>Contracted_range_revised_25Sep08_erase.shx</t>
  </si>
  <si>
    <t>Current_Range_4Mar10_erase.dbf</t>
  </si>
  <si>
    <t>Current_Range_4Mar10_erase.prj</t>
  </si>
  <si>
    <t>Current_Range_4Mar10_erase.sbn</t>
  </si>
  <si>
    <t>Current_Range_4Mar10_erase.sbx</t>
  </si>
  <si>
    <t>Current_Range_4Mar10_erase.shp</t>
  </si>
  <si>
    <t>Current_Range_4Mar10_erase.shp.xml</t>
  </si>
  <si>
    <t>Current_Range_4Mar10_erase.shx</t>
  </si>
  <si>
    <t>Historical_range_revised_22Sep08_erase.dbf</t>
  </si>
  <si>
    <t>Historical_range_revised_22Sep08_erase.prj</t>
  </si>
  <si>
    <t>Historical_range_revised_22Sep08_erase.sbn</t>
  </si>
  <si>
    <t>Historical_range_revised_22Sep08_erase.sbx</t>
  </si>
  <si>
    <t>Historical_range_revised_22Sep08_erase.shp</t>
  </si>
  <si>
    <t>Historical_range_revised_22Sep08_erase.shp.xml</t>
  </si>
  <si>
    <t>Historical_range_revised_22Sep08_erase.shx</t>
  </si>
  <si>
    <t>FOIA-FWS-2020-00724-0002986</t>
  </si>
  <si>
    <t>Fisher_NCSO_Units_Muted.pdf</t>
  </si>
  <si>
    <t>FOIA-FWS-2020-00724-0002988</t>
  </si>
  <si>
    <t>DPS_HistRange.xlsx</t>
  </si>
  <si>
    <t>Fisher_PCHab_Working_HistRange_Map1.pdf</t>
  </si>
  <si>
    <t>Fisher_PCHab_Working_HistRange_Map2.pdf</t>
  </si>
  <si>
    <t>Fisher_PCHab_Working_HistRange_Map3.pdf</t>
  </si>
  <si>
    <t>Fisher_PCHab_Working_HistRange_w_DPS.pdf</t>
  </si>
  <si>
    <t>FPCHab_HistRange.xlsx</t>
  </si>
  <si>
    <t>FOIA-FWS-2020-00724-0002995</t>
  </si>
  <si>
    <t>FWS-R8-ES-2018-0105-0093_Att1.pdf</t>
  </si>
  <si>
    <t>FOIA-FWS-2020-00724-0002996</t>
  </si>
  <si>
    <t>FOIA-FWS-2020-00724-0002998</t>
  </si>
  <si>
    <t>RE: I know I am late to the game</t>
  </si>
  <si>
    <t>FOIA-FWS-2020-00724-0002999</t>
  </si>
  <si>
    <t>Fisher_Ownership_Legend.pdf</t>
  </si>
  <si>
    <t>Fisher_NCSO_Ownership_Map.pdf</t>
  </si>
  <si>
    <t>Fisher_NCSO_Ownership_Zoom.pdf</t>
  </si>
  <si>
    <t>Fisher_PChab_Ownership_Map.pdf</t>
  </si>
  <si>
    <t>Fisher_SSN_Ownership_Map.pdf</t>
  </si>
  <si>
    <t>Fisher_NCSO_Ownership_Map_Revised.pdf</t>
  </si>
  <si>
    <t>Fisher_NCSO_Ownership_Zoom_Revised.pdf</t>
  </si>
  <si>
    <t>Fisher_PChab_Ownership_Map_Revised.pdf</t>
  </si>
  <si>
    <t>Fisher_SSN_Ownership_Map_Revised.pdf</t>
  </si>
  <si>
    <t>FOIA-FWS-2020-00724-0003009</t>
  </si>
  <si>
    <t>RE: Toxicant conclusion language</t>
  </si>
  <si>
    <t>FOIA-FWS-2020-00724-0003010</t>
  </si>
  <si>
    <t>Comments on 2014 Proposed Rule.pdf</t>
  </si>
  <si>
    <t>FOIA-FWS-2020-00724-0003011</t>
  </si>
  <si>
    <t>FWS-R8-ES-2018-0105-0096.pdf</t>
  </si>
  <si>
    <t>FOIA-FWS-2020-00724-0003012</t>
  </si>
  <si>
    <t>FWS-R8-ES-2018-0105-0097_Att02.pdf</t>
  </si>
  <si>
    <t>FOIA-FWS-2020-00724-0003013</t>
  </si>
  <si>
    <t>example peer review comment response.pdf</t>
  </si>
  <si>
    <t>FOIA-FWS-2020-00724-0003014</t>
  </si>
  <si>
    <t>notes.pdf</t>
  </si>
  <si>
    <t>FOIA-FWS-2020-00724-0003015</t>
  </si>
  <si>
    <t>Re: Fisher update-check-in</t>
  </si>
  <si>
    <t>FOIA-FWS-2020-00724-0003016</t>
  </si>
  <si>
    <t>Thompson, Brad; McDowell, Tom</t>
  </si>
  <si>
    <t>[EXTERNAL] fisher listing proposal</t>
  </si>
  <si>
    <t>Proposed_rule_comments_from_WDFW_6 Dec 2019.pdf</t>
  </si>
  <si>
    <t>FOIA-FWS-2020-00724-0003018</t>
  </si>
  <si>
    <t>one short and simple peer review sample from Wildfire</t>
  </si>
  <si>
    <t>example peer review comment response.docx</t>
  </si>
  <si>
    <t>FOIA-FWS-2020-00724-0003020</t>
  </si>
  <si>
    <t>Signed_Copy_on_Proposed_Rule.pdf</t>
  </si>
  <si>
    <t>FOIA-FWS-2020-00724-0003021</t>
  </si>
  <si>
    <t>FWS-R8-ES-2018-0105-0099_Att1.pdf</t>
  </si>
  <si>
    <t>FOIA-FWS-2020-00724-0003022</t>
  </si>
  <si>
    <t>FWS-R8-ES-2018-0105-0100_Att1.pdf</t>
  </si>
  <si>
    <t>FOIA-FWS-2020-00724-0003023</t>
  </si>
  <si>
    <t>FWS-R8-ES-2018-0105-0101.pdf</t>
  </si>
  <si>
    <t>FOIA-FWS-2020-00724-0003024</t>
  </si>
  <si>
    <t>FWS-R8-ES-2018-0105-0103.pdf</t>
  </si>
  <si>
    <t>FOIA-FWS-2020-00724-0003025</t>
  </si>
  <si>
    <t>FWS-R8-ES-2018-0105-0103_Att1.pdf</t>
  </si>
  <si>
    <t>FOIA-FWS-2020-00724-0003026</t>
  </si>
  <si>
    <t>FWS-R8-ES-2018-0105-0104.pdf</t>
  </si>
  <si>
    <t>FOIA-FWS-2020-00724-0003027</t>
  </si>
  <si>
    <t>FWS-R8-ES-2018-0105-0106.pdf</t>
  </si>
  <si>
    <t>FOIA-FWS-2020-00724-0003028</t>
  </si>
  <si>
    <t>FWS-R8-ES-2018-0105-0106_Att1.pdf</t>
  </si>
  <si>
    <t>FOIA-FWS-2020-00724-0003029</t>
  </si>
  <si>
    <t>FWS-R8-ES-2018-0105-0109.pdf</t>
  </si>
  <si>
    <t>FOIA-FWS-2020-00724-0003030</t>
  </si>
  <si>
    <t>FWS-R8-ES-2018-0105-0109_Att1.pdf</t>
  </si>
  <si>
    <t>FOIA-FWS-2020-00724-0003031</t>
  </si>
  <si>
    <t>FWS-R8-ES-2018-0105-0110.pdf</t>
  </si>
  <si>
    <t>FOIA-FWS-2020-00724-0003032</t>
  </si>
  <si>
    <t>FWS-R8-ES-2018-0105-0111.pdf</t>
  </si>
  <si>
    <t>FOIA-FWS-2020-00724-0003033</t>
  </si>
  <si>
    <t>FWS-R8-ES-2018-0105-0111_Att1.pdf</t>
  </si>
  <si>
    <t>FOIA-FWS-2020-00724-0003034</t>
  </si>
  <si>
    <t>FWS-R8-ES-2018-0105-0113_Att1.pdf</t>
  </si>
  <si>
    <t>FOIA-FWS-2020-00724-0003035</t>
  </si>
  <si>
    <t>FWS-R8-ES-2018-0105-0114.pdf</t>
  </si>
  <si>
    <t>FOIA-FWS-2020-00724-0003036</t>
  </si>
  <si>
    <t>FWS-R8-ES-2018-0105-0114_Att1.pdf</t>
  </si>
  <si>
    <t>FOIA-FWS-2020-00724-0003037</t>
  </si>
  <si>
    <t>FWS-R8-ES-2018-0105-0115.pdf</t>
  </si>
  <si>
    <t>FOIA-FWS-2020-00724-0003038</t>
  </si>
  <si>
    <t>FWS-R8-ES-2018-0105-0116.pdf</t>
  </si>
  <si>
    <t>FOIA-FWS-2020-00724-0003039</t>
  </si>
  <si>
    <t>FWS-R8-ES-2018-0105-0116_Att1.pdf</t>
  </si>
  <si>
    <t>FOIA-FWS-2020-00724-0003040</t>
  </si>
  <si>
    <t>FWS-R8-ES-2018-0105-0117.pdf</t>
  </si>
  <si>
    <t>FOIA-FWS-2020-00724-0003041</t>
  </si>
  <si>
    <t>FWS-R8-ES-2018-0105-0117_Att1.pdf</t>
  </si>
  <si>
    <t>FOIA-FWS-2020-00724-0003042</t>
  </si>
  <si>
    <t>FWS-R8-ES-2018-0105-0118_Att1.pdf</t>
  </si>
  <si>
    <t>FOIA-FWS-2020-00724-0003043</t>
  </si>
  <si>
    <t>FWS-R8-ES-2018-0105-0120.pdf</t>
  </si>
  <si>
    <t>FOIA-FWS-2020-00724-0003044</t>
  </si>
  <si>
    <t>FWS-R8-ES-2018-0105-0120_Att1.pdf</t>
  </si>
  <si>
    <t>FOIA-FWS-2020-00724-0003045</t>
  </si>
  <si>
    <t>FWS-R8-ES-2018-0105-0145_Att1.pdf</t>
  </si>
  <si>
    <t>FOIA-FWS-2020-00724-0003046</t>
  </si>
  <si>
    <t>FWS-R8-ES-2018-0105-0146_Att1.pdf</t>
  </si>
  <si>
    <t>FOIA-FWS-2020-00724-0003047</t>
  </si>
  <si>
    <t>Appendix_1_SHAGcams2019.pdf</t>
  </si>
  <si>
    <t>FOIA-FWS-2020-00724-0003048</t>
  </si>
  <si>
    <t>fisher_and_marten_report2019nov_1_2019.pdf</t>
  </si>
  <si>
    <t>FOIA-FWS-2020-00724-0003049</t>
  </si>
  <si>
    <t>Tiller_2018carnivore_report.pdf</t>
  </si>
  <si>
    <t>FOIA-FWS-2020-00724-0003050</t>
  </si>
  <si>
    <t>Emailed_Comment on West Coast Fisher Listing.pdf</t>
  </si>
  <si>
    <t>FOIA-FWS-2020-00724-0003051</t>
  </si>
  <si>
    <t>FOIA-FWS-2020-00724-0003052</t>
  </si>
  <si>
    <t>Cash, Marcia</t>
  </si>
  <si>
    <t>Re: Request and heads up---comments  The https://beta.regulations.gov/ site is a general link where you can search regulations.gov temporarily.  
The regulations.gov link in the email is referring to https://www.regulations.gov</t>
  </si>
  <si>
    <t>FOIA-FWS-2020-00724-0003053</t>
  </si>
  <si>
    <t>Re: [EXTERNAL] Fisher listing submission question</t>
  </si>
  <si>
    <t>FOIA-FWS-2020-00724-0003054</t>
  </si>
  <si>
    <t>Re: FW: [EXTERNAL] FW: Your Comment Submitted on Regulations.gov (ID: FWS-R8-ES-2018-0105-0071)</t>
  </si>
  <si>
    <t>FOIA-FWS-2020-00724-0003055</t>
  </si>
  <si>
    <t>Tierra Curry</t>
  </si>
  <si>
    <t>[EXTERNAL] Fisher Comments</t>
  </si>
  <si>
    <t>Center and Allies 2019 Fisher Proposal Comments.pdf</t>
  </si>
  <si>
    <t>FOIA-FWS-2020-00724-0003057</t>
  </si>
  <si>
    <t>RE: [EXTERNAL] proposed listing: Fisher  The Jackson County comment letter is available elsewhere in our FOIA response, see "0093-2019_12_05_Original_Fisher_Comments_JacksonCountyORBoardOfCommissioners", The regulations.gov link from the email string is here: https://www.regulations.gov/docket/FWS-R8-ES-2018-0105  The Douglas County link no longer works but is likely here: https://or-douglascounty.civicplus.com/DocumentCenter/View/3604/Community-Wildfire-Protection-Plan---Full-Plan-PDF. The page 28 link still works (www.orww.org...)</t>
  </si>
  <si>
    <t>FOIA-FWS-2020-00724-0003058</t>
  </si>
  <si>
    <t>Steven Buskirk</t>
  </si>
  <si>
    <t>[EXTERNAL] Comment on West Coast fisher listing</t>
  </si>
  <si>
    <t>Comment on West Coast Fisher Listing.pdf</t>
  </si>
  <si>
    <t>FOIA-FWS-2020-00724-0003060</t>
  </si>
  <si>
    <t>Fris, Michael; Long, Michael J; Russell, Daniel; Ericson, Jenny; Glenne, Gina; DTomascheski@spi-ind.com; Ed Murphy; Schuler, Galen; Hamm, Keith; Lynch, James M.</t>
  </si>
  <si>
    <t>Fwd: Fisher Information Discussion</t>
  </si>
  <si>
    <t>Michael Senn</t>
  </si>
  <si>
    <t>Michael Fris;Michael Long;Daniel Russell;'Ericson, Jenny';Gina Glenne;DTomascheski@spi-ind.com;Ed Murphy;Schuler, Galen;Hamm, Keith;Lynch, James M.</t>
  </si>
  <si>
    <t>FOIA-FWS-2020-00724-0003062</t>
  </si>
  <si>
    <t>[EXTERNAL] IERC Additional Public Comments</t>
  </si>
  <si>
    <t>IERC Public Comment 2019 USFWS proposed rule to list the fisher DPS.pdf</t>
  </si>
  <si>
    <t>FOIA-FWS-2020-00724-0003064</t>
  </si>
  <si>
    <t>Fwd: [EXTERNAL] FS 2019 Sierra NF</t>
  </si>
  <si>
    <t>FS 2019 Sierra NF LMP.pdf</t>
  </si>
  <si>
    <t>FOIA-FWS-2020-00724-0003066</t>
  </si>
  <si>
    <t>Fisher_proposed_rule_ comments.pdf</t>
  </si>
  <si>
    <t>FOIA-FWS-2020-00724-0003067</t>
  </si>
  <si>
    <t>FWS-R8-ES-2018-0105-0092.pdf</t>
  </si>
  <si>
    <t>FOIA-FWS-2020-00724-0003068</t>
  </si>
  <si>
    <t>FWS-R8-ES-2018-0105-0093.pdf</t>
  </si>
  <si>
    <t>FOIA-FWS-2020-00724-0003069</t>
  </si>
  <si>
    <t>FWS-R8-ES-2018-0105-0097.pdf</t>
  </si>
  <si>
    <t>FOIA-FWS-2020-00724-0003070</t>
  </si>
  <si>
    <t>FWS-R8-ES-2018-0105-0097_Att01.pdf</t>
  </si>
  <si>
    <t>FOIA-FWS-2020-00724-0003071</t>
  </si>
  <si>
    <t>FWS-R8-ES-2018-0105-0097_Att03.pdf</t>
  </si>
  <si>
    <t>FOIA-FWS-2020-00724-0003072</t>
  </si>
  <si>
    <t>FWS-R8-ES-2018-0105-0097_Att12.pdf</t>
  </si>
  <si>
    <t>FOIA-FWS-2020-00724-0003073</t>
  </si>
  <si>
    <t>FWS-R8-ES-2018-0105-0097_Att16.pdf</t>
  </si>
  <si>
    <t>FOIA-FWS-2020-00724-0003074</t>
  </si>
  <si>
    <t>FWS-R8-ES-2018-0105-0097_Att17.pdf</t>
  </si>
  <si>
    <t>FOIA-FWS-2020-00724-0003075</t>
  </si>
  <si>
    <t>FWS-R8-ES-2018-0105-0097_Att19.pdf</t>
  </si>
  <si>
    <t>FOIA-FWS-2020-00724-0003076</t>
  </si>
  <si>
    <t>FWS-R8-ES-2018-0105-0098.pdf</t>
  </si>
  <si>
    <t>FOIA-FWS-2020-00724-0003077</t>
  </si>
  <si>
    <t>FWS-R8-ES-2018-0105-0099.pdf</t>
  </si>
  <si>
    <t>FOIA-FWS-2020-00724-0003078</t>
  </si>
  <si>
    <t>FWS-R8-ES-2018-0105-0100.pdf</t>
  </si>
  <si>
    <t>FOIA-FWS-2020-00724-0003079</t>
  </si>
  <si>
    <t>FWS-R8-ES-2018-0105-0102.pdf</t>
  </si>
  <si>
    <t>FOIA-FWS-2020-00724-0003080</t>
  </si>
  <si>
    <t>FWS-R8-ES-2018-0105-0105.pdf</t>
  </si>
  <si>
    <t>FOIA-FWS-2020-00724-0003081</t>
  </si>
  <si>
    <t>FWS-R8-ES-2018-0105-0108.pdf</t>
  </si>
  <si>
    <t>FOIA-FWS-2020-00724-0003082</t>
  </si>
  <si>
    <t>FWS-R8-ES-2018-0105-0112.pdf</t>
  </si>
  <si>
    <t>FOIA-FWS-2020-00724-0003083</t>
  </si>
  <si>
    <t>FWS-R8-ES-2018-0105-0113.pdf</t>
  </si>
  <si>
    <t>FOIA-FWS-2020-00724-0003084</t>
  </si>
  <si>
    <t>FWS-R8-ES-2018-0105-0118.pdf</t>
  </si>
  <si>
    <t>FOIA-FWS-2020-00724-0003085</t>
  </si>
  <si>
    <t>FWS-R8-ES-2018-0105-0119.pdf</t>
  </si>
  <si>
    <t>FOIA-FWS-2020-00724-0003086</t>
  </si>
  <si>
    <t>FWS-R8-ES-2018-0105-0121.pdf</t>
  </si>
  <si>
    <t>FOIA-FWS-2020-00724-0003087</t>
  </si>
  <si>
    <t>FWS-R8-ES-2018-0105-0148_Att1.pdf</t>
  </si>
  <si>
    <t>FOIA-FWS-2020-00724-0003088</t>
  </si>
  <si>
    <t>mj_grows_2005_to_2014.pdf</t>
  </si>
  <si>
    <t>FOIA-FWS-2020-00724-0003089</t>
  </si>
  <si>
    <t>mj_grows_2005_to_2014_blm_and_eastside.pdf</t>
  </si>
  <si>
    <t>FOIA-FWS-2020-00724-0003090</t>
  </si>
  <si>
    <t>FOIA-FWS-2020-00724-0003091</t>
  </si>
  <si>
    <t>Phil Detrich</t>
  </si>
  <si>
    <t>[EXTERNAL] CFA comments</t>
  </si>
  <si>
    <t>CFA Fisher Comment Letter.pdf</t>
  </si>
  <si>
    <t>FOIA-FWS-2020-00724-0003093</t>
  </si>
  <si>
    <t>Fwd: [EXTERNAL] Comment on West Coast fisher listing</t>
  </si>
  <si>
    <t>FOIA-FWS-2020-00724-0003095</t>
  </si>
  <si>
    <t>Fris, Michael; Long, Michael J; Russell, Daniel; Ericson, Jenny; Glenne, Gina; Henson, Paul; Livingston, Sue</t>
  </si>
  <si>
    <t>FW: [EXTERNAL] CFA Comments as submitted to the Regulations.gov website and the basis for our discussion tomorrow.</t>
  </si>
  <si>
    <t>CFA Fisher Comment Letter as sent.pdf</t>
  </si>
  <si>
    <t>FOIA-FWS-2020-00724-0003097</t>
  </si>
  <si>
    <t>Fris, Michael; Long, Michael J; Russell, Daniel; Ericson, Jenny; Glenne, Gina</t>
  </si>
  <si>
    <t>FW: [EXTERNAL] USFWS Fisher Comments Meeting Draft Agenda</t>
  </si>
  <si>
    <t>USFWS Fisher Comments Meeting Draft Agenda.docx</t>
  </si>
  <si>
    <t>FOIA-FWS-2020-00724-0003099</t>
  </si>
  <si>
    <t>RE: Comments list for processing is up  The links in the email are referring to https://www.regulations.gov/docket/FWS-R8-ES-2018-0105</t>
  </si>
  <si>
    <t>FOIA-FWS-2020-00724-0003100</t>
  </si>
  <si>
    <t>Fwd: [EXTERNAL] You have received a FileCatalyst Webmail package from FDMS EXTRACT  The link in the email is to a temporary site (that no longer works) where we downloaded the comments submitted to 
https://www.regulations.gov/docket/FWS-R8-ES-2018-0105 for our federal register notices.</t>
  </si>
  <si>
    <t>FOIA-FWS-2020-00724-0003101</t>
  </si>
  <si>
    <t>Heidi Crowell</t>
  </si>
  <si>
    <t>Re: Fisher Core Team Morale</t>
  </si>
  <si>
    <t>FOIA-FWS-2020-00724-0003102</t>
  </si>
  <si>
    <t>RE: New information</t>
  </si>
  <si>
    <t>FOIA-FWS-2020-00724-0003103</t>
  </si>
  <si>
    <t>FOIA-FWS-2020-00724-0003104</t>
  </si>
  <si>
    <t>Finley, Laura; Glenne, Gina; Crowell, Heidi</t>
  </si>
  <si>
    <t>AFWO still part of fisher package?</t>
  </si>
  <si>
    <t>FOIA-FWS-2020-00724-0003105</t>
  </si>
  <si>
    <t>Re: comment 0097</t>
  </si>
  <si>
    <t>FOIA-FWS-2020-00724-0003106</t>
  </si>
  <si>
    <t>Thrailkill, Jim; Henson, Paul; Garner, Kim</t>
  </si>
  <si>
    <t xml:space="preserve">RE: [EXTERNAL] proposed listing: Fisher. The Jackson County comment letter is available elsewhere in our FOIA response, see "0093-2019_12_05_Original_Fisher_Comments_JacksonCountyORBoardOfCommissioners", The regulations.gov link is here: https://www.regulations.gov/docket/FWS-R8-ES-2018-0105  The Douglas County link no longer works but is likely here: https://or-douglascounty.civicplus.com/DocumentCenter/View/3604/Community-Wildfire-Protection-Plan---Full-Plan-PDF. The page 28 link still works (www.orww.org...)
</t>
  </si>
  <si>
    <t>FOIA-FWS-2020-00724-0003107</t>
  </si>
  <si>
    <t>Fisher Ownership mapping</t>
  </si>
  <si>
    <t>FOIA-FWS-2020-00724-0003116</t>
  </si>
  <si>
    <t xml:space="preserve">Re: Total comments received  
The regs.gov link in the email is referring to https://www.regulations.gov/docket/FWS-R8-ES-2018-0105
</t>
  </si>
  <si>
    <t>FOIA-FWS-2020-00724-0003117</t>
  </si>
  <si>
    <t>Re: FW: NCSO New Units colors to match your Methods</t>
  </si>
  <si>
    <t>FOIA-FWS-2020-00724-0003118</t>
  </si>
  <si>
    <t>Additional fisher update</t>
  </si>
  <si>
    <t>FOIA-FWS-2020-00724-0003119</t>
  </si>
  <si>
    <t>01FisherNewInfofromComments_20191212.pdf</t>
  </si>
  <si>
    <t>FOIA-FWS-2020-00724-0003120</t>
  </si>
  <si>
    <t>Matthews etal 2019 reproductive den site selection fisher.pdf</t>
  </si>
  <si>
    <t>FOIA-FWS-2020-00724-0003121</t>
  </si>
  <si>
    <t>Re: Comment period new info</t>
  </si>
  <si>
    <t>FOIA-FWS-2020-00724-0003122</t>
  </si>
  <si>
    <t>Crowell, Heidi; Finley, Laura; Glenne, Gina; Willy, Elizabeth; Eyes, Stephanie A; Schmidt, Gregory; West, Sabrina; Hutchinson, Jenny L; Roessler, Arnold</t>
  </si>
  <si>
    <t>FW: [EXTERNAL] JWM: Two similar species have different responses to climate | THE WILDLIFE SOCIETY  The link in the emails string still works.</t>
  </si>
  <si>
    <t>FOIA-FWS-2020-00724-0003123</t>
  </si>
  <si>
    <t>RE: 01FisherNewInfofromComments_20191212.xlsx  The document (by the same name) linked in the email can be found elsewhere in this fisher FOIA response.</t>
  </si>
  <si>
    <t>FOIA-FWS-2020-00724-0003124</t>
  </si>
  <si>
    <t>David Green</t>
  </si>
  <si>
    <t>[EXTERNAL] Re: Question or two on a report</t>
  </si>
  <si>
    <t>EKSA_ODFW_2017.tif</t>
  </si>
  <si>
    <t>EKSA_ODFW_2018.tif</t>
  </si>
  <si>
    <t>OSUReportforODFW_2018_V2.pdf</t>
  </si>
  <si>
    <t>doc.kml</t>
  </si>
  <si>
    <t>Layer0.png</t>
  </si>
  <si>
    <t>FOIA-FWS-2020-00724-0003132</t>
  </si>
  <si>
    <t>Fris, Michael; Senn, Michael J; Long, Michael J; Bierce, Pamela; Crowell, Heidi</t>
  </si>
  <si>
    <t>Fwd: Delivered to OFR: Reopen of public comment notice for West Coast DPS of fisher</t>
  </si>
  <si>
    <t>FOIA-FWS-2020-00724-0003133</t>
  </si>
  <si>
    <t>Hull, Josh; Kuyper, Richard; Aguilera, Amber; Eyes, Stephanie A; Norris, Jennifer</t>
  </si>
  <si>
    <t>FOIA-FWS-2020-00724-0003134</t>
  </si>
  <si>
    <t>Re: Fisher reopening of public comment period</t>
  </si>
  <si>
    <t>FOIA-FWS-2020-00724-0003135</t>
  </si>
  <si>
    <t>Re: [EXTERNAL] Fisher Comment Period  The link in the email string works.</t>
  </si>
  <si>
    <t>FOIA-FWS-2020-00724-0003136</t>
  </si>
  <si>
    <t>Re: [EXTERNAL] Update</t>
  </si>
  <si>
    <t>FOIA-FWS-2020-00724-0003137</t>
  </si>
  <si>
    <t>Re: Legal notice when comment period reopens?</t>
  </si>
  <si>
    <t>FOIA-FWS-2020-00724-0003138</t>
  </si>
  <si>
    <t>Grantham, Patricia A -FS</t>
  </si>
  <si>
    <t>Re: [EXTERNAL] Fisher</t>
  </si>
  <si>
    <t>FOIA-FWS-2020-00724-0003139</t>
  </si>
  <si>
    <t>FOIA-FWS-2020-00724-0003140</t>
  </si>
  <si>
    <t>FOIA-FWS-2020-00724-0003141</t>
  </si>
  <si>
    <t>0105-0126_Attacment_MoriartyKelseyMatthews_KlamathPlateau_Report_191216_km.pdf</t>
  </si>
  <si>
    <t>FOIA-FWS-2020-00724-0003142</t>
  </si>
  <si>
    <t>Just scheduled a fisher call...only time slot...</t>
  </si>
  <si>
    <t>FOIA-FWS-2020-00724-0003143</t>
  </si>
  <si>
    <t>FOIA-FWS-2020-00724-0003144</t>
  </si>
  <si>
    <t>WFPADecComment2019.pdf</t>
  </si>
  <si>
    <t>RE: [EXTERNAL] Comment on FWS-R8-ES-2018-0105 (Pacific fisher)</t>
  </si>
  <si>
    <t>FOIA-FWS-2020-00724-0003146</t>
  </si>
  <si>
    <t>Snow, Meghan K; Hull, Josh; Kuyper, Richard</t>
  </si>
  <si>
    <t>Fwd: [EXTERNAL] SCHEDULED: Document Number - 2019-27270</t>
  </si>
  <si>
    <t>FOIA-FWS-2020-00724-0003147</t>
  </si>
  <si>
    <t>FOIA-FWS-2020-00724-0003148</t>
  </si>
  <si>
    <t>Sawyer, Susan; Materna, Elizabeth; Snow, Meghan K; Hausman, Alyssa B</t>
  </si>
  <si>
    <t>West Coast DPS fisher</t>
  </si>
  <si>
    <t>West Coast DPS Fisher Comment Period Reopen - News Release - FINAL.docx</t>
  </si>
  <si>
    <t>FOIA-FWS-2020-00724-0003150</t>
  </si>
  <si>
    <t>Craig, Diana -FS</t>
  </si>
  <si>
    <t>Glenne, Gina; Ericson, Jenny; Finley, Laura; FS-R5 RO Conference Line EM-2/Conference Line/R5 RO/HQ</t>
  </si>
  <si>
    <t>[EXTERNAL] Fisher Programmatic / Conferencing Discussion (continued)</t>
  </si>
  <si>
    <t>FOIA-FWS-2020-00724-0003151</t>
  </si>
  <si>
    <t>Re: [EXTERNAL] SCHEDULED: Document Number - 2019-27270</t>
  </si>
  <si>
    <t>FOIA-FWS-2020-00724-0003152</t>
  </si>
  <si>
    <t>Livingston, Sue; Finley, Laura; Willy, Elizabeth; Crowell, Heidi</t>
  </si>
  <si>
    <t>new information folder</t>
  </si>
  <si>
    <t>FOIA-FWS-2020-00724-0003153</t>
  </si>
  <si>
    <t>Willy, Elizabeth; Russell, Daniel</t>
  </si>
  <si>
    <t>RE: fisher comment/response concerns</t>
  </si>
  <si>
    <t>Example_2014_comments.docx</t>
  </si>
  <si>
    <t>FOIA-FWS-2020-00724-0003155</t>
  </si>
  <si>
    <t>RE: new information folder</t>
  </si>
  <si>
    <t>FOIA-FWS-2020-00724-0003156</t>
  </si>
  <si>
    <t>Re: Fisher outreach today</t>
  </si>
  <si>
    <t>FOIA-FWS-2020-00724-0003157</t>
  </si>
  <si>
    <t>draft redo tribal letter</t>
  </si>
  <si>
    <t>Fisher-RevDRAFT Tribal-Letter-ReOpenDec18_2019.docx</t>
  </si>
  <si>
    <t>FOIA-FWS-2020-00724-0003159</t>
  </si>
  <si>
    <t>Request for assistance with fisher work</t>
  </si>
  <si>
    <t>FOIA-FWS-2020-00724-0003160</t>
  </si>
  <si>
    <t>FW: draft redo tribal letter</t>
  </si>
  <si>
    <t>FOIA-FWS-2020-00724-0003162</t>
  </si>
  <si>
    <t>Re: FW: draft redo tribal letter</t>
  </si>
  <si>
    <t>FOIA-FWS-2020-00724-0003163</t>
  </si>
  <si>
    <t>Carter, Cheryl; Super, Trevor; Ericson, Jenny</t>
  </si>
  <si>
    <t>FOIA-FWS-2020-00724-0003165</t>
  </si>
  <si>
    <t>Re: new information folder</t>
  </si>
  <si>
    <t>FOIA-FWS-2020-00724-0003166</t>
  </si>
  <si>
    <t>FOIA-FWS-2020-00724-0003167</t>
  </si>
  <si>
    <t>A fisher comment letter received via email - needs posting  The link in the email is referring to https://www.regulations.gov/docket/FWS-R8-ES-2018-0105</t>
  </si>
  <si>
    <t>FOIA-FWS-2020-00724-0003169</t>
  </si>
  <si>
    <t>Finley, Laura; Eyes, Stephanie A; Willy, Elizabeth; Glenne, Gina; Livingston, Sue</t>
  </si>
  <si>
    <t>Fwd: Request for assistance with fisher work</t>
  </si>
  <si>
    <t>FOIA-FWS-2020-00724-0003170</t>
  </si>
  <si>
    <t>Schmidt, Gregory; Russell, Daniel; Finley, Laura; Glenne, Gina; Willy, Elizabeth; Eyes, Stephanie A; Livingston, Sue</t>
  </si>
  <si>
    <t>Invitation: WestCoastDPS Fisher Team Call @ Monthly from 9am to 10am on the second Tuesday (PST) (gina_glenne@fws.gov)</t>
  </si>
  <si>
    <t>gregory_schmidt@fws.gov;daniel_russell@fws.gov;laura_finley@fws.gov;josh_hull@fws.gov;heidi_crowell@fws.gov;gina_glenne@fws.gov;elizabeth_willy@fws.gov;stephanie_eyes@fws.gov;sue_livingston@fws.gov</t>
  </si>
  <si>
    <t>FOIA-FWS-2020-00724-0003172</t>
  </si>
  <si>
    <t>Hull, Josh; Livingston, Sue; Willy, Elizabeth; Eyes, Stephanie A; Schmidt, Gregory; Finley, Laura; Russell, Daniel; Glenne, Gina</t>
  </si>
  <si>
    <t>Invitation: WestCoastDPS fisher Team Call @ Monthly from 9am to 10am on the fourth Tuesday (PST) (gina_glenne@fws.gov)</t>
  </si>
  <si>
    <t>josh_hull@fws.gov;sue_livingston@fws.gov;elizabeth_willy@fws.gov;stephanie_eyes@fws.gov;gregory_schmidt@fws.gov;laura_finley@fws.gov;daniel_russell@fws.gov;heidi_crowell@fws.gov;gina_glenne@fws.gov</t>
  </si>
  <si>
    <t>FOIA-FWS-2020-00724-0003174</t>
  </si>
  <si>
    <t>Bagbonon, Michel C</t>
  </si>
  <si>
    <t>Re: A fisher comment letter received via email - needs posting  The links in the email are referring to https://www.regulations.gov/docket/FWS-R8-ES-2018-0105</t>
  </si>
  <si>
    <t>FOIA-FWS-2020-00724-0003176</t>
  </si>
  <si>
    <t>LF Example comment responses for KO.pdf</t>
  </si>
  <si>
    <t>FOIA-FWS-2020-00724-0003177</t>
  </si>
  <si>
    <t>ver2 Example comment responses for KO.pdf</t>
  </si>
  <si>
    <t>FOIA-FWS-2020-00724-0003178</t>
  </si>
  <si>
    <t>Re: Incorporating new information into the Biology-Threats-Regs document</t>
  </si>
  <si>
    <t>FOIA-FWS-2020-00724-0003179</t>
  </si>
  <si>
    <t>Fwd: [EXTERNAL] Comment on FWS-R8-ES-2018-0105 (Pacific fisher) The reg.gov and the regulations.gove links are referring to:https://www.regulations.gov/docket/FWS-R8-ES-2018-0105</t>
  </si>
  <si>
    <t>FOIA-FWS-2020-00724-0003180</t>
  </si>
  <si>
    <t xml:space="preserve">Fwd: [EXTERNAL] Comment on West Coast fisher listing  
The link in the email is referring to https://www.regulations.gov/docket/FWS-R8-ES-2018-0105
</t>
  </si>
  <si>
    <t>FOIA-FWS-2020-00724-0003182</t>
  </si>
  <si>
    <t>Finley, Laura; Ericson, Jenny; Glenne, Gina</t>
  </si>
  <si>
    <t>Fwd: [EXTERNAL] Fisher Comment Period  The regs.gov.  link in the email is referring to https://www.regulations.gov/docket/FWS-R8-ES-2018-0105.  The thesis link still works.</t>
  </si>
  <si>
    <t>FOIA-FWS-2020-00724-0003183</t>
  </si>
  <si>
    <t>Re: Map colors and data</t>
  </si>
  <si>
    <t>Fisher_PCH_NCSOSSN_20191203_Fills.lyr</t>
  </si>
  <si>
    <t>Fisher_PCH_NCSOSSN_20191203_Outlines.lyr</t>
  </si>
  <si>
    <t>FOIA-FWS-2020-00724-0003186</t>
  </si>
  <si>
    <t>More fisher comments received via email - needs posting.  See "FS 2019 Sequoia NF LMP",  "FS 2019 Sierra NF LMP", "Emailed_Comment on West Coast Fisher Listing", and  "Emailed_IERC Public Comment 2019 USFWS proposed rule to list the fisher DPS" elsewhere and respectively in this fisher FOIA response for these links. The last link in the email is referring to https://www.regulations.gov/docket/FWS-R8-ES-2018-0105</t>
  </si>
  <si>
    <t>FOIA-FWS-2020-00724-0003187</t>
  </si>
  <si>
    <t>Re: Looks like you are on email?</t>
  </si>
  <si>
    <t>LF Example comment responses for KO.docx</t>
  </si>
  <si>
    <t>FOIA-FWS-2020-00724-0003189</t>
  </si>
  <si>
    <t>USFWS Announcements. The link in the email is referring to https://www.regulations.gov/docket/FWS-R8-ES-2018-0105</t>
  </si>
  <si>
    <t>FOIA-FWS-2020-00724-0003190</t>
  </si>
  <si>
    <t>Fwd: regarding your message that I missed...</t>
  </si>
  <si>
    <t>FOIA-FWS-2020-00724-0003191</t>
  </si>
  <si>
    <t>ver2 Example comment responses for KO.docx</t>
  </si>
  <si>
    <t>FOIA-FWS-2020-00724-0003193</t>
  </si>
  <si>
    <t>15-day extension on fisher</t>
  </si>
  <si>
    <t>FOIA-FWS-2020-00724-0003194</t>
  </si>
  <si>
    <t>FWS-R8-ES-2018-0105-0123.pdf</t>
  </si>
  <si>
    <t>FOIA-FWS-2020-00724-0003195</t>
  </si>
  <si>
    <t>RE: Next version</t>
  </si>
  <si>
    <t>ver2 Example comment responses for KO_gg.docx</t>
  </si>
  <si>
    <t>FOIA-FWS-2020-00724-0003197</t>
  </si>
  <si>
    <t>RE: Next</t>
  </si>
  <si>
    <t>FOIA-FWS-2020-00724-0003198</t>
  </si>
  <si>
    <t>FOIA-FWS-2020-00724-0003199</t>
  </si>
  <si>
    <t>Crowell, Heidi; Livingston, Sue; Willy, Elizabeth; Finley, Laura</t>
  </si>
  <si>
    <t>new info file names</t>
  </si>
  <si>
    <t>FOIA-FWS-2020-00724-0003200</t>
  </si>
  <si>
    <t>the write-up on fisher comments</t>
  </si>
  <si>
    <t>ver2 Example comment responses for KO_gg_LF_gg.docx</t>
  </si>
  <si>
    <t>FOIA-FWS-2020-00724-0003202</t>
  </si>
  <si>
    <t>Fisher CCAA documents</t>
  </si>
  <si>
    <t>CATEX screening form fisherCCAA2.final.pdf</t>
  </si>
  <si>
    <t>CO for Fisher CCAA_Oregon_final.pdf</t>
  </si>
  <si>
    <t>FinalFisherCCAA_April_2017.pdf</t>
  </si>
  <si>
    <t>FINDINGS_fisherCCAA_final.pdf</t>
  </si>
  <si>
    <t>FR_notice_2016-06627.pdf</t>
  </si>
  <si>
    <t>FOIA-FWS-2020-00724-0003208</t>
  </si>
  <si>
    <t>Stan Petersen</t>
  </si>
  <si>
    <t>0105-0124_Petersen_Stan.pdf</t>
  </si>
  <si>
    <t>FOIA-FWS-2020-00724-0003209</t>
  </si>
  <si>
    <t>0105-0125_Comment Katy Moriarty_USFS.pdf</t>
  </si>
  <si>
    <t>FOIA-FWS-2020-00724-0003210</t>
  </si>
  <si>
    <t xml:space="preserve">RE: 01FisherNewInfofromComments_20191212.xlsx.  The regs.gov link in the email string does not work. But, it is referring to https://www.regulations.gov/docket/FWS-R8-ES-2018-0105  The link in the email string to the document titled: "01FisherNewInfofromComments_20191212" went to a document of that name that can be found elsewhere within our fisher FOIA response.
</t>
  </si>
  <si>
    <t>FOIA-FWS-2020-00724-0003211</t>
  </si>
  <si>
    <t>FYI</t>
  </si>
  <si>
    <t>FOIA-FWS-2020-00724-0003212</t>
  </si>
  <si>
    <t>Fwd: fisher comment/response concerns</t>
  </si>
  <si>
    <t>Example comment responses for KO_Yreka.docx</t>
  </si>
  <si>
    <t>Example_2014_comments_Oregon.docx</t>
  </si>
  <si>
    <t>FOIA-FWS-2020-00724-0003215</t>
  </si>
  <si>
    <t>RE: ACTION ITEM: NFWF MOU FWS Contacts - Please respond by JAN. 6</t>
  </si>
  <si>
    <t>FOIA-FWS-2020-00724-0003216</t>
  </si>
  <si>
    <t>Re: [EXTERNAL] GIS data for Pacific fisher</t>
  </si>
  <si>
    <t>FOIA-FWS-2020-00724-0003217</t>
  </si>
  <si>
    <t>FOIA-FWS-2020-00724-0003218</t>
  </si>
  <si>
    <t>Re: [EXTERNAL] Reintroduction monograph</t>
  </si>
  <si>
    <t>FOIA-FWS-2020-00724-0003219</t>
  </si>
  <si>
    <t>FOIA-FWS-2020-00724-0003220</t>
  </si>
  <si>
    <t>Re: [EXTERNAL] Request for extension of comment period for Pacific fisher</t>
  </si>
  <si>
    <t>FOIA-FWS-2020-00724-0003221</t>
  </si>
  <si>
    <t>Re: [EXTERNAL] Request for 90-day extension on fisher comment period</t>
  </si>
  <si>
    <t>FOIA-FWS-2020-00724-0003222</t>
  </si>
  <si>
    <t>Re: [EXTERNAL] Request for extension on proposed fisher listing</t>
  </si>
  <si>
    <t>FOIA-FWS-2020-00724-0003223</t>
  </si>
  <si>
    <t>Hamm, Keith</t>
  </si>
  <si>
    <t>[EXTERNAL] fisher location data</t>
  </si>
  <si>
    <t>GDRCo_Fisher_Data_Submission_Documentation_12192019.docx</t>
  </si>
  <si>
    <t>Image1_12302019.tif</t>
  </si>
  <si>
    <t>a00000001.freelist</t>
  </si>
  <si>
    <t>a00000002.freelist</t>
  </si>
  <si>
    <t>a0000002a.freelist</t>
  </si>
  <si>
    <t>a00000003.freelist</t>
  </si>
  <si>
    <t>a00000027.freelist</t>
  </si>
  <si>
    <t>a00000028.freelist</t>
  </si>
  <si>
    <t>a00000029.freelist</t>
  </si>
  <si>
    <t>FOIA-FWS-2020-00724-0003276</t>
  </si>
  <si>
    <t>[EXTERNAL] fisher data files</t>
  </si>
  <si>
    <t>FOIA-FWS-2020-00724-0003277</t>
  </si>
  <si>
    <t>Fwd: A message to the fisher evaluation team  The attached document has been revised and not maintained in its original form. See "QUESTIONS FOR MANAGERS" elsewhere in this FOIA request for the document discussed here.</t>
  </si>
  <si>
    <t>FOIA-FWS-2020-00724-0003281</t>
  </si>
  <si>
    <t>Finley, Laura; Eyes, Stephanie A; Willy, Elizabeth; Schmidt, Gregory; Livingston, Sue</t>
  </si>
  <si>
    <t>New comments - fisher, comment period closes Fri Jan 3rd</t>
  </si>
  <si>
    <t>FOIA-FWS-2020-00724-0003282</t>
  </si>
  <si>
    <t>Re: Hello again Heidi !</t>
  </si>
  <si>
    <t>FOIA-FWS-2020-00724-0003283</t>
  </si>
  <si>
    <t>Comments January 2020.pdf</t>
  </si>
  <si>
    <t>FOIA-FWS-2020-00724-0003284</t>
  </si>
  <si>
    <t>R8_brief_Fisher_Public_Comments_longer.pdf</t>
  </si>
  <si>
    <t>FOIA-FWS-2020-00724-0003285</t>
  </si>
  <si>
    <t>R8_Fisher_Public_Comments_revised.pdf</t>
  </si>
  <si>
    <t>FOIA-FWS-2020-00724-0003286</t>
  </si>
  <si>
    <t>Happe et al 2020 Occ Patterns Reintroduced Fishers WA.pdf</t>
  </si>
  <si>
    <t>FOIA-FWS-2020-00724-0003287</t>
  </si>
  <si>
    <t xml:space="preserve">Greta Wengert, Mourad Gabriel </t>
  </si>
  <si>
    <t>0105-0128_Comment IERC_Freta _ Mourad Wengert Gabriel.pdf</t>
  </si>
  <si>
    <t>Greta Wengert, Mourad Gabriel</t>
  </si>
  <si>
    <t>0105-0128_Comment IERC_Freta _ Mourad Wengert Gabriel_Attachment.pdf</t>
  </si>
  <si>
    <t>FOIA-FWS-2020-00724-0003289</t>
  </si>
  <si>
    <t>Reginald Barrett</t>
  </si>
  <si>
    <t>0105-0129_Comment Reginald Barrett.pdf</t>
  </si>
  <si>
    <t>FOIA-FWS-2020-00724-0003290</t>
  </si>
  <si>
    <t>Martha Wheling</t>
  </si>
  <si>
    <t>0105-0130_Comment WFPA_Martha Wehling.pdf</t>
  </si>
  <si>
    <t>FOIA-FWS-2020-00724-0003291</t>
  </si>
  <si>
    <t>0105-0131_Comment Anonymous.pdf</t>
  </si>
  <si>
    <t>FOIA-FWS-2020-00724-0003292</t>
  </si>
  <si>
    <t>0105-0132_Comment Yocha Dehe.pdf</t>
  </si>
  <si>
    <t>0105-0132_Comment Yocha Dehe_Attachment.pdf</t>
  </si>
  <si>
    <t>FOIA-FWS-2020-00724-0003294</t>
  </si>
  <si>
    <t>0105-0133_Comment Forest Landowners Association.pdf</t>
  </si>
  <si>
    <t>0105-0133_Comment Forest Landowners_Attachment.pdf</t>
  </si>
  <si>
    <t>FOIA-FWS-2020-00724-0003296</t>
  </si>
  <si>
    <t>0105-0134_Comment Forest Landowners Association.pdf</t>
  </si>
  <si>
    <t>0105-0134_Comment Forest Landowners Association_Attachment.pdf</t>
  </si>
  <si>
    <t>FOIA-FWS-2020-00724-0003298</t>
  </si>
  <si>
    <t>FWS-R8-ES-2018-0105-0150_Att1.pdf</t>
  </si>
  <si>
    <t>FOIA-FWS-2020-00724-0003299</t>
  </si>
  <si>
    <t>a very vague and cryptic discussion for you...</t>
  </si>
  <si>
    <t>FOIA-FWS-2020-00724-0003300</t>
  </si>
  <si>
    <t>0105-0135_Comment Allie Molinaro.pdf</t>
  </si>
  <si>
    <t>FOIA-FWS-2020-00724-0003301</t>
  </si>
  <si>
    <t>0105-0136_Comment Tribal Executive Committee_Cahto Tribe of Laytonville Rancheria.pdf</t>
  </si>
  <si>
    <t>0105-0136_Comment Tribal Executive Committee_Cahto Tribe of Laytonville Rancheria_Attachment.pdf</t>
  </si>
  <si>
    <t>FOIA-FWS-2020-00724-0003303</t>
  </si>
  <si>
    <t>0105-0137_Comment Brent Barry.pdf</t>
  </si>
  <si>
    <t>0105-0137_Comment Brent Barry_Attachment1_Presentation_Barry.pdf</t>
  </si>
  <si>
    <t>0105-0137_Comment Brent Barry_Attachment2_Methods.pdf</t>
  </si>
  <si>
    <t>0105-0137_Comment Brent Barry_Attachment3_Figure1.pdf</t>
  </si>
  <si>
    <t>0105-0137_Comment Brent Barry_Attachment4_Figure2.pdf</t>
  </si>
  <si>
    <t>0105-0137_Comment Brent Barry_Attachment5_Figure3.pdf</t>
  </si>
  <si>
    <t>0105-0137_Comment Brent Barry_Attachment6_Figure4.pdf</t>
  </si>
  <si>
    <t>0105-0137_Comment Brent Barry_Attachment7_Figure5.pdf</t>
  </si>
  <si>
    <t>0105-0137_Comment Brent Barry_Attachment8_Figure6.pdf</t>
  </si>
  <si>
    <t>FOIA-FWS-2020-00724-0003312</t>
  </si>
  <si>
    <t>West Coast DPS of fisher Comment Received_Rollie Fillmore(1).pdf</t>
  </si>
  <si>
    <t>FOIA-FWS-2020-00724-0003313</t>
  </si>
  <si>
    <t>Galloway, Shaughn L; Glenne, Gina</t>
  </si>
  <si>
    <t>Fwd: Fisher Subunit Acres</t>
  </si>
  <si>
    <t>CoreAnalysis_10419.xlsx</t>
  </si>
  <si>
    <t>FOIA-FWS-2020-00724-0003315</t>
  </si>
  <si>
    <t>Fwd: [EXTERNAL] Fishers</t>
  </si>
  <si>
    <t>FOIA-FWS-2020-00724-0003316</t>
  </si>
  <si>
    <t>Finley, Laura; Willy, Elizabeth; Crowell, Heidi; Hull, Josh; Russell, Daniel; Schmidt, Gregory; Eyes, Stephanie A; Glenne, Gina; O'Hara, Kerry; Livingston, Sue</t>
  </si>
  <si>
    <t>Talk with Kerry O'Hara re: fisher comment</t>
  </si>
  <si>
    <t>FOIA-FWS-2020-00724-0003317</t>
  </si>
  <si>
    <t>Custom Fisher Projection</t>
  </si>
  <si>
    <t>Fisher_Projection_Notes.docx</t>
  </si>
  <si>
    <t>Fisher_RangeWide.prj</t>
  </si>
  <si>
    <t>FOIA-FWS-2020-00724-0003320</t>
  </si>
  <si>
    <t>RE: [EXTERNAL] Request for extension on proposed fisher listing</t>
  </si>
  <si>
    <t>1-3 Coalition Attachment.pdf</t>
  </si>
  <si>
    <t>1-3 Coalition.pdf</t>
  </si>
  <si>
    <t>FOIA-FWS-2020-00724-0003323</t>
  </si>
  <si>
    <t>0105-0138_Comment Lauren Ward_Forest Landowners Association.pdf</t>
  </si>
  <si>
    <t>0105-0138_Comment Lauren Ward_Forest Landowners Association_Attachment.pdf</t>
  </si>
  <si>
    <t>FOIA-FWS-2020-00724-0003325</t>
  </si>
  <si>
    <t>0105-0139_Comment Coalition of Interested Trade Associations.pdf</t>
  </si>
  <si>
    <t>FOIA-FWS-2020-00724-0003326</t>
  </si>
  <si>
    <t>0105-0140_Comment Calforests.pdf</t>
  </si>
  <si>
    <t>FOIA-FWS-2020-00724-0003327</t>
  </si>
  <si>
    <t>0105-0141_Comment SPI.pdf</t>
  </si>
  <si>
    <t>FOIA-FWS-2020-00724-0003328</t>
  </si>
  <si>
    <t>0105-0142_Comment WFPA_Martha Wehling_NO COMMENT WAS ATTACHED.pdf</t>
  </si>
  <si>
    <t>FOIA-FWS-2020-00724-0003329</t>
  </si>
  <si>
    <t>O'Hara, Kerry; Finley, Laura; Eyes, Stephanie A; Hull, Josh; Crowell, Heidi; Livingston, Sue; Glenne, Gina; Willy, Elizabeth; Schmidt, Gregory</t>
  </si>
  <si>
    <t>Updated invitation with note: Talk with Kerry O'Hara re: fisher comment @ Tue Jan 7, 2020 11am - 12pm (PST) (gina_glenne@fws.gov)</t>
  </si>
  <si>
    <t>kerry.o'hara@sol.doi.gov;laura_finley@fws.gov;stephanie_eyes@fws.gov;josh_hull@fws.gov;heidi_crowell@fws.gov;daniel_russell@fws.gov;sue_livingston@fws.gov;gina_glenne@fws.gov;elizabeth_willy@fws.gov;gregory_schmidt@fws.gov</t>
  </si>
  <si>
    <t>FOIA-FWS-2020-00724-0003331</t>
  </si>
  <si>
    <t>Zablan, Marilet; Radmer, Zachary</t>
  </si>
  <si>
    <t>Invitation: Call with WFWO re: Fisher WDFW comment @ Tue Jan 7, 2020 12pm - 12:15pm (PST) (zachary_radmer@fws.gov)</t>
  </si>
  <si>
    <t>brad_thompson@fws.gov</t>
  </si>
  <si>
    <t>Marilet Zablan;brad_thompson@fws.gov;zachary_radmer@fws.gov</t>
  </si>
  <si>
    <t>FOIA-FWS-2020-00724-0003333</t>
  </si>
  <si>
    <t>Addressing Green Diamond Comments - file 0126</t>
  </si>
  <si>
    <t>0105-0127_Comment Galen Schuler.pdf</t>
  </si>
  <si>
    <t>0105-0127_Comment Galen Schuler_Green Diamond_Attachment.pdf</t>
  </si>
  <si>
    <t>0105-0127_Comment Galen Schuler_Green Diamond_Attachment2.pdf</t>
  </si>
  <si>
    <t>FOIA-FWS-2020-00724-0003337</t>
  </si>
  <si>
    <t>Recent fisher occurrence records for the Six Rivers National Forest</t>
  </si>
  <si>
    <t>FOIA-FWS-2020-00724-0003338</t>
  </si>
  <si>
    <t>Necessary changes to Revised Proposed Rule for Fisher</t>
  </si>
  <si>
    <t>Radmer_message to the fisher evaluation team_11.21.19.pdf</t>
  </si>
  <si>
    <t>Thompson_Update on Fisher Briefing on December 18_2018.pdf</t>
  </si>
  <si>
    <t>FOIA-FWS-2020-00724-0003342</t>
  </si>
  <si>
    <t>Re: Comments/Responses Extracted from Fisher Withdrawal</t>
  </si>
  <si>
    <t>FOIA-FWS-2020-00724-0003343</t>
  </si>
  <si>
    <t>Crowell, Heidi; Finley, Laura; Russell, Daniel; Willy, Elizabeth; Schmidt, Gregory; Eyes, Stephanie A</t>
  </si>
  <si>
    <t>Thoughts on the recent comment submitted by Brent Barry. The link in this email is not available. See the email on 1/10/20 sent at 2:11 to Sue Livingston for a working link.</t>
  </si>
  <si>
    <t>FOIA-FWS-2020-00724-0003344</t>
  </si>
  <si>
    <t>Re: Thoughts on the recent comment submitted by Brent Barry.  The link in this email is not available. See the email on 1/10/20 sent at 2:11 to Sue Livingston for a working link.</t>
  </si>
  <si>
    <t>FOIA-FWS-2020-00724-0003345</t>
  </si>
  <si>
    <t>fisher and OGSI</t>
  </si>
  <si>
    <t>FOIA-FWS-2020-00724-0003346</t>
  </si>
  <si>
    <t>Re: New comments - fisher, comment period closes Fri Jan 3rd</t>
  </si>
  <si>
    <t>FOIA-FWS-2020-00724-0003347</t>
  </si>
  <si>
    <t>FOIA-FWS-2020-00724-0003348</t>
  </si>
  <si>
    <t>FWS-R8-ES-2018-0105-0143.pdf</t>
  </si>
  <si>
    <t>FOIA-FWS-2020-00724-0003349</t>
  </si>
  <si>
    <t>FWS-R8-ES-2018-0105-0144_Att1.pdf</t>
  </si>
  <si>
    <t>FOIA-FWS-2020-00724-0003350</t>
  </si>
  <si>
    <t>Re: OGSI 80</t>
  </si>
  <si>
    <t>FOIA-FWS-2020-00724-0003351</t>
  </si>
  <si>
    <t>Jones, Jennifer</t>
  </si>
  <si>
    <t>FOIA-FWS-2020-00724-0003352</t>
  </si>
  <si>
    <t>RE: OGSI 80</t>
  </si>
  <si>
    <t>FOIA-FWS-2020-00724-0003353</t>
  </si>
  <si>
    <t>0and now for the attachment</t>
  </si>
  <si>
    <t>0105-0141_Comment SPI_Attachment.pdf</t>
  </si>
  <si>
    <t>FOIA-FWS-2020-00724-0003355</t>
  </si>
  <si>
    <t>Fwd: Fisher - request from Senn?</t>
  </si>
  <si>
    <t>FOIA-FWS-2020-00724-0003356</t>
  </si>
  <si>
    <t>FOIA-FWS-2020-00724-0003357</t>
  </si>
  <si>
    <t>RE: Recent fisher occurrence records for the Six Rivers National Forest</t>
  </si>
  <si>
    <t>FOIA-FWS-2020-00724-0003358</t>
  </si>
  <si>
    <t>Russell, Dan A</t>
  </si>
  <si>
    <t>Fwd: [EXTERNAL] Follow-up from Friday's call  The business plan link has moved to this location: https://www.nfwf.org/strategies-results/business-plans  All of the plans except the Russian River coho business plan are still available at the website.  The Russian River coho business plan is not available.</t>
  </si>
  <si>
    <t>FOIA-FWS-2020-00724-0003359</t>
  </si>
  <si>
    <t>Re: Fisher GIS Data</t>
  </si>
  <si>
    <t>FOIA-FWS-2020-00724-0003360</t>
  </si>
  <si>
    <t>O'Hara, Kerry; Russell, Daniel</t>
  </si>
  <si>
    <t>OLD fisher comments - addressed in 2016 withdrawal</t>
  </si>
  <si>
    <t>Fisher Comments from 2014 rule_For Kerry&amp;Dan.docx</t>
  </si>
  <si>
    <t>FOIA-FWS-2020-00724-0003362</t>
  </si>
  <si>
    <t>Klamath Plateau report</t>
  </si>
  <si>
    <t>Moriarty_etal_inPRESS_Klamath_plateau_report_NOTES.docx</t>
  </si>
  <si>
    <t>FOIA-FWS-2020-00724-0003364</t>
  </si>
  <si>
    <t>Re: next items to review</t>
  </si>
  <si>
    <t>FOIA-FWS-2020-00724-0003365</t>
  </si>
  <si>
    <t>Example of ownership</t>
  </si>
  <si>
    <t>PChab_NCSOSSN_Owner_wilderness.xlsx</t>
  </si>
  <si>
    <t>FOIA-FWS-2020-00724-0003367</t>
  </si>
  <si>
    <t>FOIA-FWS-2020-00724-0003368</t>
  </si>
  <si>
    <t>Re: OLD fisher comments - addressed in 2016 withdrawal</t>
  </si>
  <si>
    <t>Comments February 2019 NOA.xlsx</t>
  </si>
  <si>
    <t>New Comments from Feb2019 Comment Period.docx</t>
  </si>
  <si>
    <t>FOIA-FWS-2020-00724-0003371</t>
  </si>
  <si>
    <t>Delia, Jesse</t>
  </si>
  <si>
    <t>Zablan, Marilet; Thompson, Brad; McDowell, Tom; Radmer, Zachary</t>
  </si>
  <si>
    <t>Fwd: [ please call MAZ ] Fwd: Necessary changes to Revised Proposed Rule for Fisher</t>
  </si>
  <si>
    <t>FOIA-FWS-2020-00724-0003375</t>
  </si>
  <si>
    <t>FOIA-FWS-2020-00724-0003376</t>
  </si>
  <si>
    <t>Re: Example of ownership</t>
  </si>
  <si>
    <t>FOIA-FWS-2020-00724-0003377</t>
  </si>
  <si>
    <t>QUESTIONS FOR MANAGERS.pdf</t>
  </si>
  <si>
    <t>FOIA-FWS-2020-00724-0003378</t>
  </si>
  <si>
    <t>Re: fisher</t>
  </si>
  <si>
    <t>FOIA-FWS-2020-00724-0003379</t>
  </si>
  <si>
    <t>revised proposed rule - fisher</t>
  </si>
  <si>
    <t>FR publication 20191107.pdf</t>
  </si>
  <si>
    <t>FOIA-FWS-2020-00724-0003382</t>
  </si>
  <si>
    <t>Livingston, Sue; Finley, Laura; Eyes, Stephanie A</t>
  </si>
  <si>
    <t>RE: fisher conferencing?</t>
  </si>
  <si>
    <t>FOIA-FWS-2020-00724-0003383</t>
  </si>
  <si>
    <t>Multiview Media Support</t>
  </si>
  <si>
    <t>[EXTERNAL] RE: accessing a TWS conference talk  The links in this email string work (except the TWS link which is what this email was trying to remedy.</t>
  </si>
  <si>
    <t>FOIA-FWS-2020-00724-0003384</t>
  </si>
  <si>
    <t>Re: FW: Small but important concern re: Fisher rule</t>
  </si>
  <si>
    <t>FOIA-FWS-2020-00724-0003385</t>
  </si>
  <si>
    <t>RE: Small but important concern re: Fisher rule</t>
  </si>
  <si>
    <t>FOIA-FWS-2020-00724-0003386</t>
  </si>
  <si>
    <t>Fwd: DPS Terminology Adjustments</t>
  </si>
  <si>
    <t>20191017_Fisher revpL_electronic to OFR_DR_20200110.docx</t>
  </si>
  <si>
    <t>FOIA-FWS-2020-00724-0003388</t>
  </si>
  <si>
    <t>Re: DPS Terminology Adjustments</t>
  </si>
  <si>
    <t>FOIA-FWS-2020-00724-0003389</t>
  </si>
  <si>
    <t>e: Response from Craig Thompson re Stehpanie's 5 female home range question</t>
  </si>
  <si>
    <t>FOIA-FWS-2020-00724-0003390</t>
  </si>
  <si>
    <t>FOIA-FWS-2020-00724-0003391</t>
  </si>
  <si>
    <t>Eyes, Stephanie A; Finley, Laura; Livingston, Sue; Willy, Elizabeth; Schmidt, Gregory; Russell, Daniel; Ericson, Jenny</t>
  </si>
  <si>
    <t>Significant Comments Received - Briefing Paper and New Info review</t>
  </si>
  <si>
    <t>QUESTIONS FOR MANAGERS.docx</t>
  </si>
  <si>
    <t>FOIA-FWS-2020-00724-0003393</t>
  </si>
  <si>
    <t>FOIA-FWS-2020-00724-0003394</t>
  </si>
  <si>
    <t>FOIA-FWS-2020-00724-0003396</t>
  </si>
  <si>
    <t>20191017_Fisher revpL_electronic to OFR_DR_20200110_ZR-JD.docx</t>
  </si>
  <si>
    <t>FOIA-FWS-2020-00724-0003398</t>
  </si>
  <si>
    <t>Assigned Subjects.pdf</t>
  </si>
  <si>
    <t>FOIA-FWS-2020-00724-0003399</t>
  </si>
  <si>
    <t>Significant Comments Received.pdf</t>
  </si>
  <si>
    <t>FOIA-FWS-2020-00724-0003400</t>
  </si>
  <si>
    <t>FWS-R8-ES-2018-0105-0145.pdf</t>
  </si>
  <si>
    <t>FOIA-FWS-2020-00724-0003401</t>
  </si>
  <si>
    <t>FWS-R8-ES-2018-0105-0146.pdf</t>
  </si>
  <si>
    <t>FOIA-FWS-2020-00724-0003402</t>
  </si>
  <si>
    <t>FWS-R8-ES-2018-0105-0147.pdf</t>
  </si>
  <si>
    <t>FOIA-FWS-2020-00724-0003403</t>
  </si>
  <si>
    <t>FWS-R8-ES-2018-0105-0148.pdf</t>
  </si>
  <si>
    <t>FOIA-FWS-2020-00724-0003404</t>
  </si>
  <si>
    <t>FWS-R8-ES-2018-0105-0149.pdf</t>
  </si>
  <si>
    <t>FOIA-FWS-2020-00724-0003405</t>
  </si>
  <si>
    <t>FWS-R8-ES-2018-0105-0150.pdf</t>
  </si>
  <si>
    <t>FOIA-FWS-2020-00724-0003406</t>
  </si>
  <si>
    <t>FWS-R8-ES-2018-0105-0151.pdf</t>
  </si>
  <si>
    <t>FOIA-FWS-2020-00724-0003407</t>
  </si>
  <si>
    <t>Russell, Daniel; O'Hara, Kerry</t>
  </si>
  <si>
    <t>NPS and State of WA comments - fisher</t>
  </si>
  <si>
    <t>NPS_20180222.pdf</t>
  </si>
  <si>
    <t>State of WA_20191206.pdf</t>
  </si>
  <si>
    <t>FOIA-FWS-2020-00724-0003410</t>
  </si>
  <si>
    <t>Re: Updates from 1/14/20 fisher phone call  The link in the email no longer works. We believe the link went to the document titled "Significant Comments Received", which was may have been altered after this email was sent.</t>
  </si>
  <si>
    <t>FOIA-FWS-2020-00724-0003411</t>
  </si>
  <si>
    <t>Crowell, Heidi; Finley, Laura; Livingston, Sue; Eyes, Stephanie A; Schmidt, Gregory; Russell, Daniel</t>
  </si>
  <si>
    <t>SPI new info doc link  The link in the email goes to the document titled "SPI lit cited from 2020 comment letter(1)" which can be found elsewhere in this fisher FOIA response.</t>
  </si>
  <si>
    <t>FOIA-FWS-2020-00724-0003412</t>
  </si>
  <si>
    <t>SPI lit cited from 2020 comment letter(1).pdf</t>
  </si>
  <si>
    <t>FOIA-FWS-2020-00724-0003413</t>
  </si>
  <si>
    <t>Willy, Elizabeth; Livingston, Sue; Schmidt, Gregory; Eyes, Stephanie A; Finley, Laura</t>
  </si>
  <si>
    <t>FYI, made a tweak in the comments/directions</t>
  </si>
  <si>
    <t>FOIA-FWS-2020-00724-0003414</t>
  </si>
  <si>
    <t>Re: FYI, made a tweak in the comments/directions</t>
  </si>
  <si>
    <t>FOIA-FWS-2020-00724-0003415</t>
  </si>
  <si>
    <t>Re: A bit more needed for Briefing Paper</t>
  </si>
  <si>
    <t>FOIA-FWS-2020-00724-0003416</t>
  </si>
  <si>
    <t>Crowell, Heidi; Finley, Laura; Livingston, Sue; Schmidt, Gregory; Eyes, Stephanie A; Russell, Daniel</t>
  </si>
  <si>
    <t>fisher new info Bedsworth et al 2018</t>
  </si>
  <si>
    <t>FOIA-FWS-2020-00724-0003417</t>
  </si>
  <si>
    <t>RE: recent O&amp;C ruling</t>
  </si>
  <si>
    <t>FOIA-FWS-2020-00724-0003418</t>
  </si>
  <si>
    <t>Re: Bullets you requested  The attachment to this email string is no longer available.</t>
  </si>
  <si>
    <t>FOIA-FWS-2020-00724-0003419</t>
  </si>
  <si>
    <t>Re: fisher CCAA</t>
  </si>
  <si>
    <t>FOIA-FWS-2020-00724-0003420</t>
  </si>
  <si>
    <t>SPI Bullets</t>
  </si>
  <si>
    <t>1_15_2020 Significant Comments Received.docx</t>
  </si>
  <si>
    <t>FOIA-FWS-2020-00724-0003422</t>
  </si>
  <si>
    <t>Livingston, Sue; Finley, Laura; Schmidt, Gregory; Willy, Elizabeth; Crowell, Heidi</t>
  </si>
  <si>
    <t>new information spreadsheet</t>
  </si>
  <si>
    <t>FOIA-FWS-2020-00724-0003423</t>
  </si>
  <si>
    <t>DRAFT RULE NCSO Working.pdf</t>
  </si>
  <si>
    <t>FOIA-FWS-2020-00724-0003424</t>
  </si>
  <si>
    <t>FOIA-FWS-2020-00724-0003425</t>
  </si>
  <si>
    <t>Re: and another CCAA question</t>
  </si>
  <si>
    <t>FOIA-FWS-2020-00724-0003426</t>
  </si>
  <si>
    <t>RE: A bit more needed for Briefing Paper  The link in this email goes to a document titled "Condensed-Significant Comments Received" that can be found elsewhere in this fisher FOIA response.</t>
  </si>
  <si>
    <t>FOIA-FWS-2020-00724-0003427</t>
  </si>
  <si>
    <t>Finley, Laura; Willy, Elizabeth; Eyes, Stephanie A; Schmidt, Gregory</t>
  </si>
  <si>
    <t>FW: [EXTERNAL] ILL#201082785-UXW</t>
  </si>
  <si>
    <t>ILL#201082785-UXW.pdf</t>
  </si>
  <si>
    <t>FOIA-FWS-2020-00724-0003429</t>
  </si>
  <si>
    <t>draft (condensed) BP - fisher</t>
  </si>
  <si>
    <t>Condensed-Significant Comments Received.docx</t>
  </si>
  <si>
    <t>FOIA-FWS-2020-00724-0003431</t>
  </si>
  <si>
    <t>Fris, Michael; Senn, Michael J</t>
  </si>
  <si>
    <t>Draft bullets for pre-brief</t>
  </si>
  <si>
    <t>FOIA-FWS-2020-00724-0003433</t>
  </si>
  <si>
    <t>Re: How goes the number crunching?</t>
  </si>
  <si>
    <t>FOIA-FWS-2020-00724-0003434</t>
  </si>
  <si>
    <t>SPI and Green et al.</t>
  </si>
  <si>
    <t>FOIA-FWS-2020-00724-0003435</t>
  </si>
  <si>
    <t>OGSI</t>
  </si>
  <si>
    <t>FOIA-FWS-2020-00724-0003436</t>
  </si>
  <si>
    <t>RE: ALL---done with the BP</t>
  </si>
  <si>
    <t>Klassen_Anthony_2019_notes.docx</t>
  </si>
  <si>
    <t>FOIA-FWS-2020-00724-0003438</t>
  </si>
  <si>
    <t>Condensed-Significant Comments Received-final.pdf</t>
  </si>
  <si>
    <t>FOIA-FWS-2020-00724-0003439</t>
  </si>
  <si>
    <t>Blake, Daniel; Johnson, Adam G</t>
  </si>
  <si>
    <t>FW: ALL---done with the BP (fisher)</t>
  </si>
  <si>
    <t>FOIA-FWS-2020-00724-0003441</t>
  </si>
  <si>
    <t>FW: Pre-Brief Fisher</t>
  </si>
  <si>
    <t>Condensed-Significant Comments Received-final.docx</t>
  </si>
  <si>
    <t>FOIA-FWS-2020-00724-0003443</t>
  </si>
  <si>
    <t>Re: Pre-Brief Fisher.  Discussed attachment is titled: "Condensed-Significant Comments Received-final" and is available elsewhere in this FOIA response.</t>
  </si>
  <si>
    <t>FOIA-FWS-2020-00724-0003444</t>
  </si>
  <si>
    <t>Finley, Laura; Livingston, Sue; Schmidt, Gregory; Willy, Elizabeth; Eyes, Stephanie A; Hull, Josh</t>
  </si>
  <si>
    <t>Fwd: Draft bullets for pre-brief</t>
  </si>
  <si>
    <t>FOIA-FWS-2020-00724-0003446</t>
  </si>
  <si>
    <t>Ericson, Jenny; Glenne, Gina</t>
  </si>
  <si>
    <t>Fwd: [EXTERNAL] Klamath fisher CDFW Section 6 proposal</t>
  </si>
  <si>
    <t>FOIA-FWS-2020-00724-0003447</t>
  </si>
  <si>
    <t>Clifford, Deana@Wildlife; Rich, Lindsey@Wildlife; Finley, Laura</t>
  </si>
  <si>
    <t>[EXTERNAL] Possible Section 6 proposal collaboration</t>
  </si>
  <si>
    <t>2020-21-TR-Sect 6-Fisher Reproduction and Behavior at Cannabis Sites.docx</t>
  </si>
  <si>
    <t>FOIA-FWS-2020-00724-0003449</t>
  </si>
  <si>
    <t>Crowell, Heidi; Russell, Daniel; Finley, Laura; Livingston, Sue; Schmidt, Gregory; Eyes, Stephanie A</t>
  </si>
  <si>
    <t>fisher--sharing early draft of distilled 4(d) comments</t>
  </si>
  <si>
    <t>DRAFT 4d comments and responses_EW.docx</t>
  </si>
  <si>
    <t>FOIA-FWS-2020-00724-0003451</t>
  </si>
  <si>
    <t>raymond.davis@usda.gov</t>
  </si>
  <si>
    <t>OGSI-80 Vegetation Layer</t>
  </si>
  <si>
    <t>FOIA-FWS-2020-00724-0003452</t>
  </si>
  <si>
    <t>FW: FW: DPS Terminology Adjustments</t>
  </si>
  <si>
    <t>FOIA-FWS-2020-00724-0003453</t>
  </si>
  <si>
    <t>FW: Draft bullets for fisher pre-brief</t>
  </si>
  <si>
    <t>FOIA-FWS-2020-00724-0003455</t>
  </si>
  <si>
    <t>Crowell, Heidi; Russell, Daniel; Finley, Laura; Schmidt, Gregory; Willy, Elizabeth; Eyes, Stephanie A</t>
  </si>
  <si>
    <t>notes from today's call</t>
  </si>
  <si>
    <t>Condensed-Significant Comments Received_notes_from_R8-prebrief.docx</t>
  </si>
  <si>
    <t>FOIA-FWS-2020-00724-0003457</t>
  </si>
  <si>
    <t>Condensed-Significant Comments Received_notes_from_R8-prebrief.pdf</t>
  </si>
  <si>
    <t>FOIA-FWS-2020-00724-0003458</t>
  </si>
  <si>
    <t>Response_to_comments_SL_subjects.pdf</t>
  </si>
  <si>
    <t>FOIA-FWS-2020-00724-0003459</t>
  </si>
  <si>
    <t>OLCC 2020 Marijuana Licenses Approved.pdf</t>
  </si>
  <si>
    <t>FOIA-FWS-2020-00724-0003460</t>
  </si>
  <si>
    <t>Re: Fisher ppt for Paul</t>
  </si>
  <si>
    <t>FOIA-FWS-2020-00724-0003461</t>
  </si>
  <si>
    <t>Crowell, Heidi; Russell, Daniel; Finley, Laura; Ericson, Jenny; Willy, Elizabeth; Schmidt, Gregory; Eyes, Stephanie A</t>
  </si>
  <si>
    <t>updated notes from today's pre-brief call</t>
  </si>
  <si>
    <t>FOIA-FWS-2020-00724-0003463</t>
  </si>
  <si>
    <t>Re: fisher detection GIS data related to range expansion question per Mike Senn</t>
  </si>
  <si>
    <t>FOIA-FWS-2020-00724-0003464</t>
  </si>
  <si>
    <t>Fisher range to use in power point.docx</t>
  </si>
  <si>
    <t>FOIA-FWS-2020-00724-0003466</t>
  </si>
  <si>
    <t>Re: OGSI-80 and our fisher habitat model</t>
  </si>
  <si>
    <t>WCFN_WNFP_Hab_80.xlsx</t>
  </si>
  <si>
    <t>FOIA-FWS-2020-00724-0003468</t>
  </si>
  <si>
    <t>powerpoint range slide info</t>
  </si>
  <si>
    <t>FOIA-FWS-2020-00724-0003470</t>
  </si>
  <si>
    <t>FOIA-FWS-2020-00724-0003471</t>
  </si>
  <si>
    <t>Re: URGENT Info Needed for Friday's Fisher Briefing</t>
  </si>
  <si>
    <t>FOIA-FWS-2020-00724-0003472</t>
  </si>
  <si>
    <t>FOIA-FWS-2020-00724-0003473</t>
  </si>
  <si>
    <t>Re: [EXTERNAL] Fisher spatial data</t>
  </si>
  <si>
    <t>FOIA-FWS-2020-00724-0003474</t>
  </si>
  <si>
    <t>Fwd: [EXTERNAL] Fisher spatial data</t>
  </si>
  <si>
    <t>FOIA-FWS-2020-00724-0003475</t>
  </si>
  <si>
    <t>FOIA-FWS-2020-00724-0003476</t>
  </si>
  <si>
    <t>current version</t>
  </si>
  <si>
    <t>Fisher Public Comments.pptx</t>
  </si>
  <si>
    <t>FOIA-FWS-2020-00724-0003478</t>
  </si>
  <si>
    <t>Re: fisher--my progress update</t>
  </si>
  <si>
    <t>FOIA-FWS-2020-00724-0003479</t>
  </si>
  <si>
    <t>FOIA-FWS-2020-00724-0003480</t>
  </si>
  <si>
    <t>Ericson, Jenny; Carey, Robert L; Livingston, Sue</t>
  </si>
  <si>
    <t>RE: URGENT Info Needed for Friday's Fisher Briefing</t>
  </si>
  <si>
    <t>FOIA-FWS-2020-00724-0003481</t>
  </si>
  <si>
    <t>Matthews, Sean Michael; Livingston, Sue</t>
  </si>
  <si>
    <t>[EXTERNAL] RE: Klamath Plateau study</t>
  </si>
  <si>
    <t>Green 2014_CAFWG_presentation_jan2014_FisherTimeLine.jpg</t>
  </si>
  <si>
    <t>Green etal 2019_MicrositesStructuresUsed-ComparisonDailyRestingVReproduction_FEM.pdf</t>
  </si>
  <si>
    <t>FOIA-FWS-2020-00724-0003484</t>
  </si>
  <si>
    <t>Comments on 2014 Proposed Rule.docx</t>
  </si>
  <si>
    <t>FOIA-FWS-2020-00724-0003485</t>
  </si>
  <si>
    <t>Re: how to address cumulative effects?</t>
  </si>
  <si>
    <t>Fisher Public Comments cum effects only.pptx</t>
  </si>
  <si>
    <t>FOIA-FWS-2020-00724-0003487</t>
  </si>
  <si>
    <t>FOIA-FWS-2020-00724-0003488</t>
  </si>
  <si>
    <t>cumulative effects - SPI</t>
  </si>
  <si>
    <t>0141_SPI_COPY.pdf</t>
  </si>
  <si>
    <t>FOIA-FWS-2020-00724-0003490</t>
  </si>
  <si>
    <t>Re: cumulative effects - SPI</t>
  </si>
  <si>
    <t>0139_Coalition of Interested Trade Associations_COPY.pdf</t>
  </si>
  <si>
    <t>FOIA-FWS-2020-00724-0003492</t>
  </si>
  <si>
    <t>FOIA-FWS-2020-00724-0003493</t>
  </si>
  <si>
    <t>Maps and Acres for Regional Director Briefing on Fisher</t>
  </si>
  <si>
    <t>FisherDetections_DPS_1910_2013.pdf</t>
  </si>
  <si>
    <t>FisherDetections_NCSO_1910_2013.pdf</t>
  </si>
  <si>
    <t>FOIA-FWS-2020-00724-0003496</t>
  </si>
  <si>
    <t>Re: [EXTERNAL] RE: Klamath Plateau study</t>
  </si>
  <si>
    <t>IMGP0003.JPG</t>
  </si>
  <si>
    <t>FOIA-FWS-2020-00724-0003498</t>
  </si>
  <si>
    <t>Re: toxicants</t>
  </si>
  <si>
    <t>FOIA-FWS-2020-00724-0003499</t>
  </si>
  <si>
    <t>Ericson, Jenny; Fris, Michael</t>
  </si>
  <si>
    <t>Fisher Public Comments cum effects only_DRussell.pptx</t>
  </si>
  <si>
    <t>FOIA-FWS-2020-00724-0003501</t>
  </si>
  <si>
    <t>Livingston, Sue; Finley, Laura; Willy, Elizabeth; Eyes, Stephanie A</t>
  </si>
  <si>
    <t>REMINDER/IMPORTANT---no sister agency comments are to be created in the FR doc</t>
  </si>
  <si>
    <t>FOIA-FWS-2020-00724-0003502</t>
  </si>
  <si>
    <t>Bullets for briefing from the revised proposed rule</t>
  </si>
  <si>
    <t>FOIA-FWS-2020-00724-0003503</t>
  </si>
  <si>
    <t>Norris, Jennifer; Senn, Michael J; White, Rollie; Cantrell, Wanda D; Everson, Dan; Schmidt, Gregory; Grim, Mary; Garner, Kim; Glenne, Gina; Hull, Josh; Souza, Paul; Livingston, Sue; Henson, Paul; Norris, Jennifer L; Russell, Daniel; Ericson, Jenny; Eyes, Stephanie A; Crowell, Heidi; Finley, Laura; Willy, Elizabeth</t>
  </si>
  <si>
    <t>Updated invitation: Fisher Briefing @ Fri Jan 24, 2020 9am - 10am (PST) (jenny_ericson@fws.gov)</t>
  </si>
  <si>
    <t>jennifer_norris@fws.gov;michael_senn@fws.gov;rollie_white@fws.gov;wanda_cantrell@fws.gov;dan_everson@fws.gov;gregory_schmidt@fws.gov;mary_grim@fws.gov;kim_garner@fws.gov;gina_glenne@fws.gov;josh_hull@fws.gov;paul_souza@fws.gov;michael_fris@fws.gov;sue_livingston@fws.gov;paul_henson@fws.gov;jennifer_l_norris@fws.gov;daniel_russell@fws.gov;jenny_ericson@fws.gov;stephanie_eyes@fws.gov;heidi_crowell@fws.gov;laura_finley@fws.gov;elizabeth_willy@fws.gov</t>
  </si>
  <si>
    <t>FOIA-FWS-2020-00724-0003505</t>
  </si>
  <si>
    <t>addressing effects of regulatory measures and conservation measures</t>
  </si>
  <si>
    <t>FOIA-FWS-2020-00724-0003506</t>
  </si>
  <si>
    <t>Fwd: Fisher memo</t>
  </si>
  <si>
    <t>fisher memo.pdf</t>
  </si>
  <si>
    <t>FOIA-FWS-2020-00724-0003508</t>
  </si>
  <si>
    <t>Fisher Detection Data from SPI</t>
  </si>
  <si>
    <t>FOIA-FWS-2020-00724-0003509</t>
  </si>
  <si>
    <t>20200124_BRIEFING FOR RD.pdf</t>
  </si>
  <si>
    <t>FOIA-FWS-2020-00724-0003510</t>
  </si>
  <si>
    <t>Draft comment responses_regulatory_mechanisms-v1.pdf</t>
  </si>
  <si>
    <t>FOIA-FWS-2020-00724-0003511</t>
  </si>
  <si>
    <t>California Dept Food and Ag 2020 Record List 20200124.pdf</t>
  </si>
  <si>
    <t>FOIA-FWS-2020-00724-0003512</t>
  </si>
  <si>
    <t>RE: regulatory mechanism comments related to toxicants</t>
  </si>
  <si>
    <t>FOIA-FWS-2020-00724-0003513</t>
  </si>
  <si>
    <t>Re: addressing effects of regulatory measures and conservation measures</t>
  </si>
  <si>
    <t>FOIA-FWS-2020-00724-0003514</t>
  </si>
  <si>
    <t>final presentation</t>
  </si>
  <si>
    <t>Fisher Public Comments revised2.pptx</t>
  </si>
  <si>
    <t>FOIA-FWS-2020-00724-0003516</t>
  </si>
  <si>
    <t>Livingston, Sue; Willy, Elizabeth; Finley, Laura; Schmidt, Gregory; Crowell, Heidi</t>
  </si>
  <si>
    <t>New information and incorporating into the FR doc</t>
  </si>
  <si>
    <t>FOIA-FWS-2020-00724-0003517</t>
  </si>
  <si>
    <t>RE: URGENT Info Needed for Friday's Fisher Briefing  The link in this email chain works.</t>
  </si>
  <si>
    <t>FOIA-FWS-2020-00724-0003518</t>
  </si>
  <si>
    <t>RE: comment on the fisher rule RE forest mgmt certification</t>
  </si>
  <si>
    <t>FOIA-FWS-2020-00724-0003519</t>
  </si>
  <si>
    <t>Re: Fisher Briefing</t>
  </si>
  <si>
    <t>FOIA-FWS-2020-00724-0003520</t>
  </si>
  <si>
    <t>Fwd: [EXTERNAL] Sequoia NF LMP for fisher comments  The link in the email is referring to https://www.regulations.gov/docket/FWS-R8-ES-2018-0105</t>
  </si>
  <si>
    <t>FS 2019 Sequoia NF LMP.pdf</t>
  </si>
  <si>
    <t>FOIA-FWS-2020-00724-0003522</t>
  </si>
  <si>
    <t>Burkett, Esther@Wildlife</t>
  </si>
  <si>
    <t>Finley, Laura; Carey, Robert L</t>
  </si>
  <si>
    <t>[EXTERNAL] Q. on current federal status of fisher populations in CA</t>
  </si>
  <si>
    <t>FOIA-FWS-2020-00724-0003523</t>
  </si>
  <si>
    <t>Crowell, Heidi; Eyes, Stephanie A; Livingston, Sue; Willy, Elizabeth; Schmidt, Gregory</t>
  </si>
  <si>
    <t>After today's call.</t>
  </si>
  <si>
    <t>FOIA-FWS-2020-00724-0003524</t>
  </si>
  <si>
    <t>FOIA-FWS-2020-00724-0003525</t>
  </si>
  <si>
    <t>Re: After today's call.</t>
  </si>
  <si>
    <t>FOIA-FWS-2020-00724-0003526</t>
  </si>
  <si>
    <t>Noah Greenwald</t>
  </si>
  <si>
    <t>Re: [EXTERNAL] Fisher comments</t>
  </si>
  <si>
    <t>FOIA-FWS-2020-00724-0003527</t>
  </si>
  <si>
    <t>New Info Table</t>
  </si>
  <si>
    <t>Info To Review_Submitted on 2019 Revised Proposed Rule_20200124.xlsx</t>
  </si>
  <si>
    <t>FOIA-FWS-2020-00724-0003529</t>
  </si>
  <si>
    <t>RE: New information and incorporating into the FR doc</t>
  </si>
  <si>
    <t>FOIA-FWS-2020-00724-0003530</t>
  </si>
  <si>
    <t>Forestry comment letters</t>
  </si>
  <si>
    <t>0104-AFRC_COPY.pdf</t>
  </si>
  <si>
    <t>0108-NAFO_COPY.pdf</t>
  </si>
  <si>
    <t>0110-HRG_COPY.pdf</t>
  </si>
  <si>
    <t>0115-OFIC_COPY.pdf</t>
  </si>
  <si>
    <t>0121-Calforests_Dec2019_COPY.pdf</t>
  </si>
  <si>
    <t>0127_GreenDiamond_COPY.pdf</t>
  </si>
  <si>
    <t>0140_Calforests_COPY.pdf</t>
  </si>
  <si>
    <t>FOIA-FWS-2020-00724-0003538</t>
  </si>
  <si>
    <t>Re: New information and incorporating into the FR doc</t>
  </si>
  <si>
    <t>FOIA-FWS-2020-00724-0003539</t>
  </si>
  <si>
    <t>RE: groups of completed comment responses</t>
  </si>
  <si>
    <t>Draft comment responses_regulatory_mechanisms-v1.docx</t>
  </si>
  <si>
    <t>FOIA-FWS-2020-00724-0003541</t>
  </si>
  <si>
    <t>revised biology threats regs section</t>
  </si>
  <si>
    <t>Biology-Threats-Regs--toxicants.docx</t>
  </si>
  <si>
    <t>FOIA-FWS-2020-00724-0003543</t>
  </si>
  <si>
    <t>Re: presentation today</t>
  </si>
  <si>
    <t>Fisher Public Comments revised.pptx</t>
  </si>
  <si>
    <t>FOIA-FWS-2020-00724-0003545</t>
  </si>
  <si>
    <t>FOIA-FWS-2020-00724-0003547</t>
  </si>
  <si>
    <t>FW: Biology-Threats-Regs - Made a comment  The closest document we can find is one dated February 3rd titled "Biology-Threats-Regs" contained elsewhere in this FOIA request.</t>
  </si>
  <si>
    <t>FOIA-FWS-2020-00724-0003548</t>
  </si>
  <si>
    <t>USDA FS etal 2020a MOU CSO NSO.pdf</t>
  </si>
  <si>
    <t>FOIA-FWS-2020-00724-0003549</t>
  </si>
  <si>
    <t>Furnas, Brett@Wildlife</t>
  </si>
  <si>
    <t>Re: CDFW fisher data</t>
  </si>
  <si>
    <t>FOIA-FWS-2020-00724-0003550</t>
  </si>
  <si>
    <t>Crowell, Heidi; Russell, Daniel; Glenne, Gina; Eyes, Stephanie A; Finley, Laura; Livingston, Sue; Schmidt, Gregory</t>
  </si>
  <si>
    <t>Re: Crowell, Heidi shared the folder "Fisher 2019" with you.  This is the master folder where fisher documents were held for this listing determination. It was migrated from google docs to OneDrive. As a result, we have the documents from this folder. They are dispersed throughout this FOIA response.</t>
  </si>
  <si>
    <t>example.docx</t>
  </si>
  <si>
    <t>FOIA-FWS-2020-00724-0003552</t>
  </si>
  <si>
    <t>McGregor, Eric L</t>
  </si>
  <si>
    <t>Re: California Fisher Working Group Presentation Title</t>
  </si>
  <si>
    <t>FOIA-FWS-2020-00724-0003553</t>
  </si>
  <si>
    <t>Re: Lassen fisher data</t>
  </si>
  <si>
    <t>FOIA-FWS-2020-00724-0003554</t>
  </si>
  <si>
    <t>Furnas, Brett@Wildlife; Finley, Laura</t>
  </si>
  <si>
    <t>[EXTERNAL] RE: CDFW fisher data</t>
  </si>
  <si>
    <t>Fisher detection summary_CDFW SNRF and Meso Cameras_through 2016_For SPI.xlsx</t>
  </si>
  <si>
    <t>FOIA-FWS-2020-00724-0003556</t>
  </si>
  <si>
    <t>Willy, Elizabeth; Crowell, Heidi; Russell, Daniel; Glenne, Gina; Eyes, Stephanie A; Finley, Laura; Schmidt, Gregory</t>
  </si>
  <si>
    <t>RE: Crowell, Heidi shared the folder "Fisher 2019" with you.  This is the master folder where fisher documents were held for this listing determination. It was migrated from google docs to OneDrive. As a result, we have the documents from this folder. They are dispersed throughout this FOIA response.</t>
  </si>
  <si>
    <t>FOIA-FWS-2020-00724-0003557</t>
  </si>
  <si>
    <t>New Info Spreadsheet</t>
  </si>
  <si>
    <t>01FisherNewInfofromComments_20191212_SEyes20200128.xlsx</t>
  </si>
  <si>
    <t>FOIA-FWS-2020-00724-0003559</t>
  </si>
  <si>
    <t>clarification on wildfire analysis</t>
  </si>
  <si>
    <t>FOIA-FWS-2020-00724-0003560</t>
  </si>
  <si>
    <t>FOIA-FWS-2020-00724-0003561</t>
  </si>
  <si>
    <t>Livingston, Sue; Eyes, Stephanie A</t>
  </si>
  <si>
    <t>Re: NEW INFORMATION TABLE UPDATED</t>
  </si>
  <si>
    <t>FOIA-FWS-2020-00724-0003562</t>
  </si>
  <si>
    <t>Fw: USFS NRIS dataset acquisition</t>
  </si>
  <si>
    <t>FOIA-FWS-2020-00724-0003563</t>
  </si>
  <si>
    <t>Disease and predation section</t>
  </si>
  <si>
    <t>FOIA-FWS-2020-00724-0003564</t>
  </si>
  <si>
    <t>Eyes, Stephanie A; Crowell, Heidi; Willy, Elizabeth</t>
  </si>
  <si>
    <t>Re: New Info spreadsheet file from my computer</t>
  </si>
  <si>
    <t>FOIA-FWS-2020-00724-0003565</t>
  </si>
  <si>
    <t>20200129_20200203_Chat_Willy_Crowell.pdf</t>
  </si>
  <si>
    <t>FOIA-FWS-2020-00724-0003566</t>
  </si>
  <si>
    <t>20200129_20200129_Chat_GALLOWAY_FINLEY.pdf</t>
  </si>
  <si>
    <t>FOIA-FWS-2020-00724-0003567</t>
  </si>
  <si>
    <t>SPI CCAA  We don't have access to the highlighted version of the documents. The comments here are about the SPI CCAA, SPI's January 2020 comment letter, and the Powell et al. 2019 report.</t>
  </si>
  <si>
    <t>FOIA-FWS-2020-00724-0003568</t>
  </si>
  <si>
    <t>RE: ohman et al</t>
  </si>
  <si>
    <t>FOIA-FWS-2020-00724-0003569</t>
  </si>
  <si>
    <t>Re: ohman et al</t>
  </si>
  <si>
    <t>FOIA-FWS-2020-00724-0003570</t>
  </si>
  <si>
    <t>copy, SPI comments</t>
  </si>
  <si>
    <t>FOIA-FWS-2020-00724-0003572</t>
  </si>
  <si>
    <t>Figura, Pete@Wildlife; Furnas, Brett@Wildlife</t>
  </si>
  <si>
    <t>FOIA-FWS-2020-00724-0003574</t>
  </si>
  <si>
    <t>Powell et al 2019</t>
  </si>
  <si>
    <t>Stirling Annual Report 2017 2019-12-09 FINAL LF review.pdf</t>
  </si>
  <si>
    <t>FOIA-FWS-2020-00724-0003576</t>
  </si>
  <si>
    <t>RE: Powell et al 2019</t>
  </si>
  <si>
    <t>FOIA-FWS-2020-00724-0003577</t>
  </si>
  <si>
    <t>Fw: [EXTERNAL] Final Report Take 2</t>
  </si>
  <si>
    <t>R. Powell, et al</t>
  </si>
  <si>
    <t>Annual Report 2017 2019-12-09 FINAL optimized.pdf</t>
  </si>
  <si>
    <t>FOIA-FWS-2020-00724-0003579</t>
  </si>
  <si>
    <t>Niblett et al 2017</t>
  </si>
  <si>
    <t>M Niblett, et al</t>
  </si>
  <si>
    <t>LF review Niblett et al 2017_ Characterizing Habitat Elements and Their Distribution over Several Spatial Scales_ The Case of the Fisher.pdf</t>
  </si>
  <si>
    <t>FOIA-FWS-2020-00724-0003581</t>
  </si>
  <si>
    <t>RE: Niblett et al 2017</t>
  </si>
  <si>
    <t>FOIA-FWS-2020-00724-0003582</t>
  </si>
  <si>
    <t>RE: new info table and progress update  The link in this email no longer works and we are not able to locate this document. We can locate a document titled "fisherNewInfofromComments_20191212" which will be very similar and can be found elsewhere in this fisher FOIA response.</t>
  </si>
  <si>
    <t>FOIA-FWS-2020-00724-0003583</t>
  </si>
  <si>
    <t>Technical Edit for Tree Mortality section</t>
  </si>
  <si>
    <t>FOIA-FWS-2020-00724-0003584</t>
  </si>
  <si>
    <t>Re: OGSI-80 response</t>
  </si>
  <si>
    <t>LF Sue 21.docx</t>
  </si>
  <si>
    <t>FOIA-FWS-2020-00724-0003586</t>
  </si>
  <si>
    <t>FOIA-FWS-2020-00724-0003587</t>
  </si>
  <si>
    <t>FS_R5_Existing Conservation Measures.pdf</t>
  </si>
  <si>
    <t>FOIA-FWS-2020-00724-0003588</t>
  </si>
  <si>
    <t>Crowell, Heidi; Finley, Laura; Livingston, Sue; Schmidt, Gregory; Eyes, Stephanie A</t>
  </si>
  <si>
    <t>Re: REQUEST and UPDATE on New Info Review, Bio-Threats-Regs text</t>
  </si>
  <si>
    <t>FOIA-FWS-2020-00724-0003589</t>
  </si>
  <si>
    <t>FOIA-FWS-2020-00724-0003590</t>
  </si>
  <si>
    <t>Re: Technical Edit for Tree Mortality section</t>
  </si>
  <si>
    <t>FOIA-FWS-2020-00724-0003591</t>
  </si>
  <si>
    <t>Livingston, Sue; Eyes, Stephanie A; Crowell, Heidi; Schmidt, Gregory; Finley, Laura</t>
  </si>
  <si>
    <t>Re: New Info spreadsheet. The link in the email goes to the document titled: "FisherNewInfofromComments" which no longer exists. There is a different version of this document titled "FisherNewInfofromComment_20192012" that is likely very similar.</t>
  </si>
  <si>
    <t>FOIA-FWS-2020-00724-0003592</t>
  </si>
  <si>
    <t>Finley, Laura; Livingston, Sue; Schmidt, Gregory; Eyes, Stephanie A; Willy, Elizabeth</t>
  </si>
  <si>
    <t>FOIA-FWS-2020-00724-0003593</t>
  </si>
  <si>
    <t>Re: question on HCPs</t>
  </si>
  <si>
    <t>FOIA-FWS-2020-00724-0003594</t>
  </si>
  <si>
    <t>Livingston, Sue; Crowell, Heidi; Eyes, Stephanie A; Schmidt, Gregory; Finley, Laura</t>
  </si>
  <si>
    <t>Re: New Info spreadsheet The link in the email titled: "FisherNewInfofromComments" is no longer available. See similar documents with this title within their name elsewhere in this FOIA response.</t>
  </si>
  <si>
    <t>FOIA-FWS-2020-00724-0003595</t>
  </si>
  <si>
    <t>Memo FINAL Recovery Outline Guidance and Template_5-2-18_v2</t>
  </si>
  <si>
    <t>FOIA-FWS-2020-00724-0003596</t>
  </si>
  <si>
    <t>Revised Recovery Outline Guidance - 2018 - NTR</t>
  </si>
  <si>
    <t>FOIA-FWS-2020-00724-0003597</t>
  </si>
  <si>
    <t>FYI, reminder for fisher folks and YFWO re: planning to develop a recovery outline, 30 days after final rule publishes</t>
  </si>
  <si>
    <t>Final recovery outline guidance and template - 4-25-2018.docx</t>
  </si>
  <si>
    <t>Memo FINAL Recovery Outline Guidance and Template_5-2-18_v2.docx</t>
  </si>
  <si>
    <t>Revised Recovery Outline Guidance - 2018 - NTR.docx</t>
  </si>
  <si>
    <t>FOIA-FWS-2020-00724-0003602</t>
  </si>
  <si>
    <t>Willy, Elizabeth; Livingston, Sue; Finley, Laura; Schmidt, Gregory</t>
  </si>
  <si>
    <t>Re: Stuck on a fisher wildfire comment citing data from Powell et al 2019</t>
  </si>
  <si>
    <t>FOIA-FWS-2020-00724-0003603</t>
  </si>
  <si>
    <t>Livingston, Sue; Willy, Elizabeth; Finley, Laura; Schmidt, Gregory</t>
  </si>
  <si>
    <t>FOIA-FWS-2020-00724-0003604</t>
  </si>
  <si>
    <t>Re: New Info table information source question  The link in this email string no longer works. See "FS_R5_Existing Conservation Measures" elsewhere in this FOIA response.</t>
  </si>
  <si>
    <t>FOIA-FWS-2020-00724-0003605</t>
  </si>
  <si>
    <t>FOIA-FWS-2020-00724-0003606</t>
  </si>
  <si>
    <t>20190827_References Cited.pdf</t>
  </si>
  <si>
    <t>FOIA-FWS-2020-00724-0003607</t>
  </si>
  <si>
    <t>DRAFT RULE.pdf</t>
  </si>
  <si>
    <t>FOIA-FWS-2020-00724-0003608</t>
  </si>
  <si>
    <t>Livingston, Sue; Eyes, Stephanie A; Finley, Laura; Schmidt, Gregory</t>
  </si>
  <si>
    <t>FOIA-FWS-2020-00724-0003609</t>
  </si>
  <si>
    <t>Livingston, Sue; Willy, Elizabeth; Crowell, Heidi; Schmidt, Gregory; Eyes, Stephanie A</t>
  </si>
  <si>
    <t>Fw: [EXTERNAL] Re: New literature on the effects of the legalization of cannabis on illicit grow sites</t>
  </si>
  <si>
    <t>PlummerPeak_20191004__Treatment.Tox__2019-08-15__11-23-05(1).JPG</t>
  </si>
  <si>
    <t>Prestemon et al 2019 Ecological Economics.pdf</t>
  </si>
  <si>
    <t>FOIA-FWS-2020-00724-0003612</t>
  </si>
  <si>
    <t>FOIA-FWS-2020-00724-0003613</t>
  </si>
  <si>
    <t>Carey, Robert L; Ericson, Jenny</t>
  </si>
  <si>
    <t>Attached: blank fisher data request table format from 2012 request for data submission</t>
  </si>
  <si>
    <t>Blank Fisher locality info.xlsx</t>
  </si>
  <si>
    <t>FOIA-FWS-2020-00724-0003615</t>
  </si>
  <si>
    <t>FOIA-FWS-2020-00724-0003616</t>
  </si>
  <si>
    <t>Eyes, Stephanie A; Crowell, Heidi; Livingston, Sue; Willy, Elizabeth; Schmidt, Gregory</t>
  </si>
  <si>
    <t>Re: New Info table information source question</t>
  </si>
  <si>
    <t>FOIA-FWS-2020-00724-0003617</t>
  </si>
  <si>
    <t>Finley, Laura; Crowell, Heidi; Livingston, Sue; Willy, Elizabeth; Schmidt, Gregory</t>
  </si>
  <si>
    <t>FOIA-FWS-2020-00724-0003618</t>
  </si>
  <si>
    <t>Finley, Laura; Crowell, Heidi; Livingston, Sue; Schmidt, Gregory; Willy, Elizabeth</t>
  </si>
  <si>
    <t>Re: Core team call Tuesday the 4th</t>
  </si>
  <si>
    <t>FOIA-FWS-2020-00724-0003619</t>
  </si>
  <si>
    <t>Re: SPI CCAA</t>
  </si>
  <si>
    <t>FOIA-FWS-2020-00724-0003620</t>
  </si>
  <si>
    <t>Finley, Laura; Livingston, Sue; Willy, Elizabeth; Crowell, Heidi; Schmidt, Gregory</t>
  </si>
  <si>
    <t>Re: [EXTERNAL] Re: New literature on the effects of the legalization of cannabis on illicit grow sites</t>
  </si>
  <si>
    <t>FOIA-FWS-2020-00724-0003621</t>
  </si>
  <si>
    <t>FOIA-FWS-2020-00724-0003622</t>
  </si>
  <si>
    <t>Brian Dotters</t>
  </si>
  <si>
    <t>Carey, Robert L; Finley, Laura</t>
  </si>
  <si>
    <t>[EXTERNAL] RE: Attached: blank fisher data request table format from 2012 request for data submission</t>
  </si>
  <si>
    <t>SPI Fisher locality info from CCAA report.xlsx</t>
  </si>
  <si>
    <t>FOIA-FWS-2020-00724-0003624</t>
  </si>
  <si>
    <t>Fisher Biology comments for 2014 proposed rule.pdf</t>
  </si>
  <si>
    <t>FOIA-FWS-2020-00724-0003625</t>
  </si>
  <si>
    <t>FOIA-FWS-2020-00724-0003626</t>
  </si>
  <si>
    <t>Re: Question on USFS MOUs</t>
  </si>
  <si>
    <t>FOIA-FWS-2020-00724-0003627</t>
  </si>
  <si>
    <t>Fisher Data Thank-you</t>
  </si>
  <si>
    <t>FOIA-FWS-2020-00724-0003628</t>
  </si>
  <si>
    <t>[EXTERNAL] RE: Fisher Data Thank-you</t>
  </si>
  <si>
    <t>EBM 1618 cams fisher.xls</t>
  </si>
  <si>
    <t>Furnas et al_2017_fisher population size.pdf</t>
  </si>
  <si>
    <t>FOIA-FWS-2020-00724-0003631</t>
  </si>
  <si>
    <t>Re: fisher comments--starting on current conservation mgmt comments</t>
  </si>
  <si>
    <t>FOIA-FWS-2020-00724-0003632</t>
  </si>
  <si>
    <t>Suggestions for a response - change in position from a decision document that was lost in court</t>
  </si>
  <si>
    <t>FOIA-FWS-2020-00724-0003633</t>
  </si>
  <si>
    <t>Furnas, Brett@Wildlife; Figura, Pete@Wildlife</t>
  </si>
  <si>
    <t>Re: Fisher Data Thank-you</t>
  </si>
  <si>
    <t>FOIA-FWS-2020-00724-0003634</t>
  </si>
  <si>
    <t>FOIA-FWS-2020-00724-0003635</t>
  </si>
  <si>
    <t>Cantrell, Wanda D</t>
  </si>
  <si>
    <t>Fris, Michael; Livingston, Sue; Willy, Elizabeth; Russell, Daniel; White, Rollie; Ericson, Jenny; Everson, Dan; Berg, Nathan; Henson, Paul; Crowell, Heidi; Norris, Jennifer L; Eyes, Stephanie A; Schmidt, Gregory; Finley, Laura; Glenne, Gina; Norris, Jennifer; Delia, Jesse; Garner, Kim; Grim, Mary; Hull, Josh; Senn, Michael J; angelia_picco@fws.gov</t>
  </si>
  <si>
    <t>Fisher Team meeting</t>
  </si>
  <si>
    <t>FOIA-FWS-2020-00724-0003636</t>
  </si>
  <si>
    <t>Re: NRIS data and fisher</t>
  </si>
  <si>
    <t>FOIA-FWS-2020-00724-0003637</t>
  </si>
  <si>
    <t>GSchmidt Comment Response.pdf</t>
  </si>
  <si>
    <t>FOIA-FWS-2020-00724-0003638</t>
  </si>
  <si>
    <t>20200204_Notes from Meeting with RD.pdf</t>
  </si>
  <si>
    <t>FOIA-FWS-2020-00724-0003639</t>
  </si>
  <si>
    <t>20200204_Highlights-NotesFromSSNFWG&amp;OtherPresentations_SEyes.pdf</t>
  </si>
  <si>
    <t>FOIA-FWS-2020-00724-0003640</t>
  </si>
  <si>
    <t>response to comments</t>
  </si>
  <si>
    <t>FOIA-FWS-2020-00724-0003641</t>
  </si>
  <si>
    <t>Willy, Elizabeth; Crowell, Heidi; Schmidt, Gregory; Finley, Laura; Eyes, Stephanie A</t>
  </si>
  <si>
    <t>RE: Fisher comments---get those done first por favor The link in this email goes to the "Assigned Subjects" document found elsewhere in this FOIA response.</t>
  </si>
  <si>
    <t>FOIA-FWS-2020-00724-0003642</t>
  </si>
  <si>
    <t>RE: Fisher comments---get those done first por favor  The link in this email goes to the "Assigned Subjects" document.</t>
  </si>
  <si>
    <t>FOIA-FWS-2020-00724-0003643</t>
  </si>
  <si>
    <t>Fisher maps</t>
  </si>
  <si>
    <t>20200204_Fisher Locations.jpg</t>
  </si>
  <si>
    <t>FOIA-FWS-2020-00724-0003645</t>
  </si>
  <si>
    <t>Hickam, Cheryl</t>
  </si>
  <si>
    <t>Glenne, Gina; Finley, Laura; Eyes, Stephanie A</t>
  </si>
  <si>
    <t>NRIS data</t>
  </si>
  <si>
    <t>FOIA-FWS-2020-00724-0003646</t>
  </si>
  <si>
    <t>Lucchetti, Guillermo A</t>
  </si>
  <si>
    <t>Fisher Comment Tables</t>
  </si>
  <si>
    <t>Comments December 2019.xlsx</t>
  </si>
  <si>
    <t>Comments January 2020.xlsx</t>
  </si>
  <si>
    <t>FOIA-FWS-2020-00724-0003649</t>
  </si>
  <si>
    <t>Lucchetti, Guillermo</t>
  </si>
  <si>
    <t>Re: Fisher Comment Tables</t>
  </si>
  <si>
    <t>FOIA-FWS-2020-00724-0003650</t>
  </si>
  <si>
    <t>Zablan, Marilet; Henson, Paul; Delia, Jesse; Garner, Kim</t>
  </si>
  <si>
    <t>RE: [ Prep need? To be led by Paul Souza, I believe ] Fw: Fisher Team meeting [ TODAY ]</t>
  </si>
  <si>
    <t>FOIA-FWS-2020-00724-0003651</t>
  </si>
  <si>
    <t>Re: Fisher comments---get those done first por favor</t>
  </si>
  <si>
    <t>FOIA-FWS-2020-00724-0003652</t>
  </si>
  <si>
    <t>RE: Fisher Support</t>
  </si>
  <si>
    <t>FOIA-FWS-2020-00724-0003653</t>
  </si>
  <si>
    <t>Russell, Daniel; Finley, Laura; Ericson, Jenny; Glenne, Gina; Livingston, Sue; Willy, Elizabeth; Schmidt, Gregory; Eyes, Stephanie A; Hull, Josh; Picco, Angela</t>
  </si>
  <si>
    <t>Re: Never admitted to being a good notetaker...I'm not! But, here ya go!</t>
  </si>
  <si>
    <t>20200204_Biology-Threats-Regs.docx</t>
  </si>
  <si>
    <t>FOIA-FWS-2020-00724-0003655</t>
  </si>
  <si>
    <t>FOIA-FWS-2020-00724-0003656</t>
  </si>
  <si>
    <t>Note-to-Reviewer_TEMPLATE.pdf</t>
  </si>
  <si>
    <t>FOIA-FWS-2020-00724-0003657</t>
  </si>
  <si>
    <t>NFWF fuels treatment table submitted by SPI with their comments</t>
  </si>
  <si>
    <t>FOIA-FWS-2020-00724-0003658</t>
  </si>
  <si>
    <t>20200204_Notes from Meeting with RD.docx</t>
  </si>
  <si>
    <t>FOIA-FWS-2020-00724-0003660</t>
  </si>
  <si>
    <t>Willy, Elizabeth; Livingston, Sue; Schmidt, Gregory</t>
  </si>
  <si>
    <t>Don't remember if I sent you this</t>
  </si>
  <si>
    <t>20191217 coastal marten final listing rule_comments and responses only.docx</t>
  </si>
  <si>
    <t>FOIA-FWS-2020-00724-0003662</t>
  </si>
  <si>
    <t>Current version of draft fisher rule</t>
  </si>
  <si>
    <t>20200205_WestCoastDPSFisher_fListing.docx</t>
  </si>
  <si>
    <t>FOIA-FWS-2020-00724-0003664</t>
  </si>
  <si>
    <t>Picco, Angela</t>
  </si>
  <si>
    <t>Russell, Daniel; Crowell, Heidi; Willy, Elizabeth; Glenne, Gina; Hull, Josh; Livingston, Sue</t>
  </si>
  <si>
    <t>Fisher small team coordination call</t>
  </si>
  <si>
    <t>FOIA-FWS-2020-00724-0003665</t>
  </si>
  <si>
    <t>Re: Logical outgrowth language</t>
  </si>
  <si>
    <t>FOIA-FWS-2020-00724-0003666</t>
  </si>
  <si>
    <t>Crowell, Heidi; Willy, Elizabeth; Eyes, Stephanie A; Finley, Laura; Schmidt, Gregory</t>
  </si>
  <si>
    <t>RE: fisher--reviewed packet of USFS R6 stuff submitted during public comment period</t>
  </si>
  <si>
    <t>2016_withdrawal_comment_responses_to_consider_for_2020_Attorney-client.docx</t>
  </si>
  <si>
    <t>FOIA-FWS-2020-00724-0003668</t>
  </si>
  <si>
    <t>Draft outline for fisher small team</t>
  </si>
  <si>
    <t>20200205_Outline for small fisher coordination team.docx</t>
  </si>
  <si>
    <t>FOIA-FWS-2020-00724-0003670</t>
  </si>
  <si>
    <t>Fisher Genetics Papers</t>
  </si>
  <si>
    <t>Drew et al 2003.pdf</t>
  </si>
  <si>
    <t>Knaus et al 2011.pdf</t>
  </si>
  <si>
    <t>Peer_Review_(Michael_Schwartz)_.pdf</t>
  </si>
  <si>
    <t>Tucker et al 2012.PDF</t>
  </si>
  <si>
    <t>Tucker et al 2013.pdf</t>
  </si>
  <si>
    <t>FOIA-FWS-2020-00724-0003676</t>
  </si>
  <si>
    <t>Fisher Genetics Literature</t>
  </si>
  <si>
    <t>Aubry etal 2004 Zoogeography, spacing, dispersal in fisher.pdf</t>
  </si>
  <si>
    <t>Barry 2018 Distribution, Habitat Associations, and Conservation Status of Pacific Fisher in Oregon_Thesis.pdf</t>
  </si>
  <si>
    <t>Drew etal 2003 Conservation genetics of fisher based on mitochondrial dna dequencing.pdf</t>
  </si>
  <si>
    <t>Furnas et al 2017 Est fisher population size NCSO.docx</t>
  </si>
  <si>
    <t>Green etal 2018b Reproductive parameters of the fisher in the southern Sierra Nevada JMamm.pdf</t>
  </si>
  <si>
    <t>Moriarty etal 2017 Klamath Plateau Fisher Project Preliminary Report.pdf</t>
  </si>
  <si>
    <t>Pilgrim and Schwartz 2014, 2015, 2016, 2017 BLM Klamath Fisher Survey Samples Reports.pdf</t>
  </si>
  <si>
    <t>Tucker 2015 Peer Review of the Proposed Rule for West Coast Distinct Population Segment of Fisher.pdf</t>
  </si>
  <si>
    <t>Tucker etal 2012 Historical and Contemporary DNA Indicate Fisher Decline and Isolation.pdf</t>
  </si>
  <si>
    <t>Wisely etal 2004 Genetic diversity and structure of the fisher.pdf</t>
  </si>
  <si>
    <t>FOIA-FWS-2020-00724-0003687</t>
  </si>
  <si>
    <t>Willy, Elizabeth; Finley, Laura; Crowell, Heidi; Hull, Josh</t>
  </si>
  <si>
    <t>RE: Fisher Genetics Literature  The link in this email to the document of the same name 0105-0126_Attacment_MoriartyKelseyMattews_KlamathPlateau_Report_191216_km which can be found elsewhere in this fisher FOIA response.</t>
  </si>
  <si>
    <t>Ethridge_etal_2013_ODFW_Rogue_Fisher_Report.pdf</t>
  </si>
  <si>
    <t>Knaus_etal_2011_fisher_genetics.pdf</t>
  </si>
  <si>
    <t>Self_etal_2008_CA-OR_fisher_pop_estimate.pdf</t>
  </si>
  <si>
    <t>Swiers_2013_NOCAL_fisher_pops.pdf</t>
  </si>
  <si>
    <t>Tucker_2013_SSN_fisher.pdf</t>
  </si>
  <si>
    <t>Tucker_etal_2012_Sierra_fisher_DNA_isolation.PDF</t>
  </si>
  <si>
    <t>Tucker_etal_2013_Sierra_fisher_genetics_II.pdf</t>
  </si>
  <si>
    <t>Tucker_etal_2014_Sierra_fisher_pop_genetics.pdf</t>
  </si>
  <si>
    <t>FOIA-FWS-2020-00724-0003697</t>
  </si>
  <si>
    <t>RE: Fisher Genetics Literature The link in the email chain in this file is to the document of the same name 0105-0126_Attacment_MoriartyKelseyMattews_KlamathPlateau_Report_191216_km that can be found elsewhere in this FOIA response.</t>
  </si>
  <si>
    <t>FOIA-FWS-2020-00724-0003698</t>
  </si>
  <si>
    <t>Russell, Daniel; Crowell, Heidi; Hull, Josh; Glenne, Gina; Willy, Elizabeth; Livingston, Sue</t>
  </si>
  <si>
    <t>Re: Small fisher team coordination</t>
  </si>
  <si>
    <t>FOIA-FWS-2020-00724-0003700</t>
  </si>
  <si>
    <t>FW: Fisher small team coordination call</t>
  </si>
  <si>
    <t>FOIA-FWS-2020-00724-0003701</t>
  </si>
  <si>
    <t>fisher new information from Dec 2018 recc. team mtg</t>
  </si>
  <si>
    <t>FOIA-FWS-2020-00724-0003706</t>
  </si>
  <si>
    <t>20200210_Draft text for sharing within fisher small team.pdf</t>
  </si>
  <si>
    <t>FOIA-FWS-2020-00724-0003707</t>
  </si>
  <si>
    <t>20200210_Fisher small team coordination call notes.pdf</t>
  </si>
  <si>
    <t>FOIA-FWS-2020-00724-0003708</t>
  </si>
  <si>
    <t>Green et al 2020 DraftManuscript.pdf</t>
  </si>
  <si>
    <t>FOIA-FWS-2020-00724-0003709</t>
  </si>
  <si>
    <t>[EXTERNAL] RE: question regarding USFS comments received during public comment period  The link in the email string no longer works. But, is likely linking to this site: https://www.nfwf.org/partnerships/federal-state-partners/usda-forest-service</t>
  </si>
  <si>
    <t>MOU Final 16-MU-148RFsigned-prescribed fire.pdf</t>
  </si>
  <si>
    <t>FOIA-FWS-2020-00724-0003711</t>
  </si>
  <si>
    <t xml:space="preserve">Fw: question regarding USFS comments received during public comment period. The links in this email still work. </t>
  </si>
  <si>
    <t>FOIA-FWS-2020-00724-0003713</t>
  </si>
  <si>
    <t>Crowell, Heidi; Picco, Angela; Russell, Daniel; Willy, Elizabeth; Livingston, Sue; Glenne, Gina; Drake, Madeline K</t>
  </si>
  <si>
    <t>State Status Review and Findings on Fisher</t>
  </si>
  <si>
    <t>FOIA-FWS-2020-00724-0003714</t>
  </si>
  <si>
    <t>Crowell, Heidi; Livingston, Sue; Glenne, Gina; Willy, Elizabeth; Drake, Madeline K; Hull, Josh; Picco, Angela; Russell, Daniel</t>
  </si>
  <si>
    <t>Other MOUs from USFS</t>
  </si>
  <si>
    <t>FOIA-FWS-2020-00724-0003715</t>
  </si>
  <si>
    <t>Livingston, Sue; Crowell, Heidi; Russell, Daniel; Willy, Elizabeth; Glenne, Gina; Eyes, Stephanie A; Drake, Madeline K; Hull, Josh</t>
  </si>
  <si>
    <t>Next steps after today's fisher small team call and thank you! The links in this email go to the documents with the titles they list that can be found elsewhere in this FOIA response.</t>
  </si>
  <si>
    <t>FOIA-FWS-2020-00724-0003716</t>
  </si>
  <si>
    <t>Re: Fisher</t>
  </si>
  <si>
    <t>FOIA-FWS-2020-00724-0003717</t>
  </si>
  <si>
    <t>20200211_20200317_chat_Crowell_Drake_Eyes_Glenne_Hull_Livingston_Picco_Russell_Willy.pdf Linked documents are not maintained with the file.</t>
  </si>
  <si>
    <t>FOIA-FWS-2020-00724-0003718</t>
  </si>
  <si>
    <t>20200211_20200317_chat_Glenne_Livingston_Willy.pdf Linked documents are not maintained with the file.</t>
  </si>
  <si>
    <t>FOIA-FWS-2020-00724-0003719</t>
  </si>
  <si>
    <t>[EXTERNAL] FW: NFWF fuels management partnership Agreement?</t>
  </si>
  <si>
    <t>USFS - Pacific Southwest Fuels Management_NFWF Signed Agreement.pdf</t>
  </si>
  <si>
    <t>FOIA-FWS-2020-00724-0003721</t>
  </si>
  <si>
    <t>Glenne, Gina; Willy, Elizabeth</t>
  </si>
  <si>
    <t>NCSO population bullets</t>
  </si>
  <si>
    <t>NCSO_info_summary.docx</t>
  </si>
  <si>
    <t>FOIA-FWS-2020-00724-0003723</t>
  </si>
  <si>
    <t>Drake, Madeline K; Livingston, Sue; Eyes, Stephanie A; Finley, Laura; Crowell, Heidi; Willy, Elizabeth</t>
  </si>
  <si>
    <t>RE: Green et al. 2017?</t>
  </si>
  <si>
    <t>GreenEtAl_FisherFire.pdf</t>
  </si>
  <si>
    <t>FOIA-FWS-2020-00724-0003725</t>
  </si>
  <si>
    <t>FOIA-FWS-2020-00724-0003726</t>
  </si>
  <si>
    <t>RE: NCSO population bullets</t>
  </si>
  <si>
    <t>FOIA-FWS-2020-00724-0003727</t>
  </si>
  <si>
    <t>Re: request for some documents</t>
  </si>
  <si>
    <t>FOIA-FWS-2020-00724-0003729</t>
  </si>
  <si>
    <t>FOIA-FWS-2020-00724-0003730</t>
  </si>
  <si>
    <t>shapefile for DPS populations from the FR doc?</t>
  </si>
  <si>
    <t>FOIA-FWS-2020-00724-0003731</t>
  </si>
  <si>
    <t>Re: shapefile for DPS populations from the FR doc?</t>
  </si>
  <si>
    <t>FOIA-FWS-2020-00724-0003732</t>
  </si>
  <si>
    <t>1_20200212_Write-up for revising fisher DPS approach.pdf</t>
  </si>
  <si>
    <t>FOIA-FWS-2020-00724-0003733</t>
  </si>
  <si>
    <t>USDA FS etal 2020b MOU addendum fisher.pdf</t>
  </si>
  <si>
    <t>FOIA-FWS-2020-00724-0003734</t>
  </si>
  <si>
    <t>NCSO_info_summary.pdf</t>
  </si>
  <si>
    <t>FOIA-FWS-2020-00724-0003735</t>
  </si>
  <si>
    <t>20200212_Ecological Setting Differences_DRAFT.pdf</t>
  </si>
  <si>
    <t>FOIA-FWS-2020-00724-0003736</t>
  </si>
  <si>
    <t>Stock, Sarah &lt;sarah_stock@nps.gov&gt;</t>
  </si>
  <si>
    <t>Eyes, Stephanie A &lt;stephanie_eyes@fws.gov&gt;</t>
  </si>
  <si>
    <t>Stock 2020 pers comm_fisherNorthOfMerced.pdf</t>
  </si>
  <si>
    <t>FOIA-FWS-2020-00724-0003737</t>
  </si>
  <si>
    <t>Toxicants and fisher.docx</t>
  </si>
  <si>
    <t>FOIA-FWS-2020-00724-0003739</t>
  </si>
  <si>
    <t>Glenne, Gina; Livingston, Sue</t>
  </si>
  <si>
    <t>Re: NCSO population bullets</t>
  </si>
  <si>
    <t>Climate draft notes.docx</t>
  </si>
  <si>
    <t>FOIA-FWS-2020-00724-0003741</t>
  </si>
  <si>
    <t>FOIA-FWS-2020-00724-0003742</t>
  </si>
  <si>
    <t>Livingston, Sue; Crowell, Heidi; Glenne, Gina; Hull, Josh; Eyes, Stephanie A; Picco, Angela; Russell, Daniel</t>
  </si>
  <si>
    <t>Fw: California Fish and Wildlife News (Distemper Cases Rise Among Californiaâ€™s Foxes, Raccoons, Skunks)</t>
  </si>
  <si>
    <t>FOIA-FWS-2020-00724-0003743</t>
  </si>
  <si>
    <t>Willy, Elizabeth; Glenne, Gina</t>
  </si>
  <si>
    <t>FOIA-FWS-2020-00724-0003745</t>
  </si>
  <si>
    <t>Re: Notes or outline of new information from TWS fisher presentations?</t>
  </si>
  <si>
    <t>FOIA-FWS-2020-00724-0003746</t>
  </si>
  <si>
    <t>Fisher Facts for Unique Ecological Setting</t>
  </si>
  <si>
    <t>Fisher Ecological Setting Differences.docx</t>
  </si>
  <si>
    <t>FOIA-FWS-2020-00724-0003748</t>
  </si>
  <si>
    <t>Gabriel pers comm</t>
  </si>
  <si>
    <t>Gabriel_2018_pers_comm_20181115pdf.pdf</t>
  </si>
  <si>
    <t>FOIA-FWS-2020-00724-0003750</t>
  </si>
  <si>
    <t>No subject; attachment is Random DPS thoughts 20200212.docx</t>
  </si>
  <si>
    <t>Random DPS thoughts 20200212.docx</t>
  </si>
  <si>
    <t>FOIA-FWS-2020-00724-0003752</t>
  </si>
  <si>
    <t>Willy, Elizabeth; Livingston, Sue</t>
  </si>
  <si>
    <t>FW: Fisher maps</t>
  </si>
  <si>
    <t>FOIA-FWS-2020-00724-0003754</t>
  </si>
  <si>
    <t>Fisher meeting with Henson tomorrow (THursday) 1:00 to 2:00</t>
  </si>
  <si>
    <t>FOIA-FWS-2020-00724-0003755</t>
  </si>
  <si>
    <t>FW: Fisher rationale meeting</t>
  </si>
  <si>
    <t>FOIA-FWS-2020-00724-0003756</t>
  </si>
  <si>
    <t>Re: fisher rtm</t>
  </si>
  <si>
    <t>FOIA-FWS-2020-00724-0003757</t>
  </si>
  <si>
    <t>RE: Trying to work on your question and get direction from either Heidi or Angela</t>
  </si>
  <si>
    <t>FOIA-FWS-2020-00724-0003758</t>
  </si>
  <si>
    <t>Russell, Daniel; Crowell, Heidi; Hull, Josh; Livingston, Sue; Glenne, Gina; Willy, Elizabeth</t>
  </si>
  <si>
    <t>Fisher small team coordination meeting</t>
  </si>
  <si>
    <t>FOIA-FWS-2020-00724-0003759</t>
  </si>
  <si>
    <t>Re: Fisher Facts for Unique Ecological Setting</t>
  </si>
  <si>
    <t>psw_2004_zielinski003.pdf</t>
  </si>
  <si>
    <t>FOIA-FWS-2020-00724-0003761</t>
  </si>
  <si>
    <t>FW: Pacific Fisher</t>
  </si>
  <si>
    <t>FOIA-FWS-2020-00724-0003762</t>
  </si>
  <si>
    <t>draft notes for rest of EW sections.docx</t>
  </si>
  <si>
    <t>FOIA-FWS-2020-00724-0003764</t>
  </si>
  <si>
    <t>Fw: [EXTERNAL] Stirling population modeling manuscript</t>
  </si>
  <si>
    <t>GreenStirlingSCR_20200212.docx</t>
  </si>
  <si>
    <t>FOIA-FWS-2020-00724-0003766</t>
  </si>
  <si>
    <t>FOIA-FWS-2020-00724-0003767</t>
  </si>
  <si>
    <t>Picco, Angela; Glenne, Gina; Eyes, Stephanie A; Livingston, Sue; Willy, Elizabeth</t>
  </si>
  <si>
    <t>Re: how to deal with repeat information in both NCSO and SSN sections?</t>
  </si>
  <si>
    <t>How the current document reads - wildfire section.docx</t>
  </si>
  <si>
    <t>Partial doc organization outline.docx</t>
  </si>
  <si>
    <t>FOIA-FWS-2020-00724-0003770</t>
  </si>
  <si>
    <t>RE: Fisher maps</t>
  </si>
  <si>
    <t>FOIA-FWS-2020-00724-0003771</t>
  </si>
  <si>
    <t>20200213 Discreteness and Significance Only.pdf</t>
  </si>
  <si>
    <t>FOIA-FWS-2020-00724-0003772</t>
  </si>
  <si>
    <t>20200213 Discreteness and Significance Only_NCSO.pdf</t>
  </si>
  <si>
    <t>FOIA-FWS-2020-00724-0003773</t>
  </si>
  <si>
    <t>NCSO_bullets GG back_SL.pdf</t>
  </si>
  <si>
    <t>FOIA-FWS-2020-00724-0003774</t>
  </si>
  <si>
    <t>NCSO_bullets.pdf</t>
  </si>
  <si>
    <t>FOIA-FWS-2020-00724-0003775</t>
  </si>
  <si>
    <t>Matthews and Green 2020 pers comm.pdf</t>
  </si>
  <si>
    <t>FOIA-FWS-2020-00724-0003776</t>
  </si>
  <si>
    <t>fisher</t>
  </si>
  <si>
    <t>FOIA-FWS-2020-00724-0003777</t>
  </si>
  <si>
    <t>draft bullet points for NCSO stressors and populations</t>
  </si>
  <si>
    <t>NCSO_bullets.docx</t>
  </si>
  <si>
    <t>FOIA-FWS-2020-00724-0003779</t>
  </si>
  <si>
    <t>Fahey, Bridget; O'Hara, Kerry</t>
  </si>
  <si>
    <t>FOIA-FWS-2020-00724-0003780</t>
  </si>
  <si>
    <t>RE: draft bullet points for NCSO stressors and populations</t>
  </si>
  <si>
    <t>FOIA-FWS-2020-00724-0003782</t>
  </si>
  <si>
    <t>FOIA-FWS-2020-00724-0003783</t>
  </si>
  <si>
    <t>NCSO_bullets GG back.docx</t>
  </si>
  <si>
    <t>FOIA-FWS-2020-00724-0003785</t>
  </si>
  <si>
    <t>FOIA-FWS-2020-00724-0003786</t>
  </si>
  <si>
    <t>Livingston, Sue; Glenne, Gina; Willy, Elizabeth</t>
  </si>
  <si>
    <t>Re: Wildfire section  The link in the email to the document "FisherLitigationUpdatedScienceCompliationSummary_Seyes_20190225 is located elsewhere in this FOIA Response</t>
  </si>
  <si>
    <t>FOIA-FWS-2020-00724-0003787</t>
  </si>
  <si>
    <t>NCSO_bullets GG back_SL.docx</t>
  </si>
  <si>
    <t>FOIA-FWS-2020-00724-0003789</t>
  </si>
  <si>
    <t>NCSO_bullets GG back_SL_GG.docx</t>
  </si>
  <si>
    <t>FOIA-FWS-2020-00724-0003791</t>
  </si>
  <si>
    <t>NCSO_bullets_final.docx</t>
  </si>
  <si>
    <t>FOIA-FWS-2020-00724-0003793</t>
  </si>
  <si>
    <t>Picco, Angela; Senn, Michael J; Souza, Paul</t>
  </si>
  <si>
    <t>FW: fisher</t>
  </si>
  <si>
    <t>FOIA-FWS-2020-00724-0003794</t>
  </si>
  <si>
    <t>FW: Questions on Klamath fisher population studies</t>
  </si>
  <si>
    <t>D. Green, et al</t>
  </si>
  <si>
    <t>Green_etal_2016_wildfire_FX_fishers_baseline.pdf</t>
  </si>
  <si>
    <t>Green_etal_2017b_wildfire_FX_fishers.pdf</t>
  </si>
  <si>
    <t>FOIA-FWS-2020-00724-0003798</t>
  </si>
  <si>
    <t>Re: Fisher listing work</t>
  </si>
  <si>
    <t>FOIA-FWS-2020-00724-0003799</t>
  </si>
  <si>
    <t>[EXTERNAL] RE: Questions on Klamath fisher population studies</t>
  </si>
  <si>
    <t>FOIA-FWS-2020-00724-0003800</t>
  </si>
  <si>
    <t>FOIA-FWS-2020-00724-0003801</t>
  </si>
  <si>
    <t>RE: [EXTERNAL] Stirling population modeling manuscript</t>
  </si>
  <si>
    <t>FOIA-FWS-2020-00724-0003802</t>
  </si>
  <si>
    <t>RE: predator and disease write-up</t>
  </si>
  <si>
    <t>FOIA-FWS-2020-00724-0003803</t>
  </si>
  <si>
    <t>Russell, Daniel; Willy, Elizabeth; Livingston, Sue; Crowell, Heidi; Glenne, Gina; Hull, Josh</t>
  </si>
  <si>
    <t>Fisher small team in-person meeting</t>
  </si>
  <si>
    <t>FOIA-FWS-2020-00724-0003804</t>
  </si>
  <si>
    <t>Draft write-up for revising the DPS approach</t>
  </si>
  <si>
    <t>20200212_Write-up for revising fisher DPS approach.docx</t>
  </si>
  <si>
    <t>FOIA-FWS-2020-00724-0003806</t>
  </si>
  <si>
    <t>FW: follow up question</t>
  </si>
  <si>
    <t>FOIA-FWS-2020-00724-0003807</t>
  </si>
  <si>
    <t>Livingston, Sue; Willy, Elizabeth; Glenne, Gina</t>
  </si>
  <si>
    <t>Re: Green Diamond fisher presentation at TWS</t>
  </si>
  <si>
    <t>California Fisher Working Group.docx</t>
  </si>
  <si>
    <t>FOIA-FWS-2020-00724-0003809</t>
  </si>
  <si>
    <t>Evans, April</t>
  </si>
  <si>
    <t>Request for Meeting with Paul</t>
  </si>
  <si>
    <t>FOIA-FWS-2020-00724-0003810</t>
  </si>
  <si>
    <t>Draft SPR</t>
  </si>
  <si>
    <t>20200214 Draft SPR.docx</t>
  </si>
  <si>
    <t>FOIA-FWS-2020-00724-0003812</t>
  </si>
  <si>
    <t>RE: Request for Meeting with Paul</t>
  </si>
  <si>
    <t>FOIA-FWS-2020-00724-0003813</t>
  </si>
  <si>
    <t>Cantrell, Wanda D; Evans, April</t>
  </si>
  <si>
    <t>FOIA-FWS-2020-00724-0003814</t>
  </si>
  <si>
    <t>Fris, Michael; Russell, Daniel</t>
  </si>
  <si>
    <t>Re: Meeting with Fisher mini RTM</t>
  </si>
  <si>
    <t>FOIA-FWS-2020-00724-0003815</t>
  </si>
  <si>
    <t>Russell, Daniel; Glenne, Gina; Eyes, Stephanie A; Livingston, Sue; Willy, Elizabeth</t>
  </si>
  <si>
    <t>20200214_Outline of final fisher rule.docx</t>
  </si>
  <si>
    <t>FOIA-FWS-2020-00724-0003817</t>
  </si>
  <si>
    <t>SSN wildfire, forest insects and tree diseases, vegetation management</t>
  </si>
  <si>
    <t>SSN_Threats_SEyes_20200214_1440.docx</t>
  </si>
  <si>
    <t>FOIA-FWS-2020-00724-0003819</t>
  </si>
  <si>
    <t>Eyes, Stephanie A; Picco, Angela; Russell, Daniel; Glenne, Gina; Willy, Elizabeth</t>
  </si>
  <si>
    <t>RE: how to deal with repeat information in both NCSO and SSN sections?</t>
  </si>
  <si>
    <t>FOIA-FWS-2020-00724-0003821</t>
  </si>
  <si>
    <t>20200218_Draft agenda for small team in-person meeting.pdf</t>
  </si>
  <si>
    <t>FOIA-FWS-2020-00724-0003822</t>
  </si>
  <si>
    <t>FINAL_ForestInsects&amp;TreeDiseases_GeneralToBoth&amp;SSN&amp;NCSO.pdf</t>
  </si>
  <si>
    <t>FOIA-FWS-2020-00724-0003823</t>
  </si>
  <si>
    <t>RE: my progress</t>
  </si>
  <si>
    <t>FOIA-FWS-2020-00724-0003824</t>
  </si>
  <si>
    <t>Fisher--NCSO draft distribution and threats sections</t>
  </si>
  <si>
    <t>DRAFT RULE_NCSO_dist and threats_20200218.docx</t>
  </si>
  <si>
    <t>FOIA-FWS-2020-00724-0003826</t>
  </si>
  <si>
    <t>Crowell, Heidi; Eyes, Stephanie A; Glenne, Gina; Picco, Angela; Russell, Daniel; Livingston, Sue; Willy, Elizabeth</t>
  </si>
  <si>
    <t>California Spotted Owl Species Assessment Form</t>
  </si>
  <si>
    <t>FOIA-FWS-2020-00724-0003827</t>
  </si>
  <si>
    <t>NCSO determination framework.pdf</t>
  </si>
  <si>
    <t>FOIA-FWS-2020-00724-0003828</t>
  </si>
  <si>
    <t>20200214_Outline of final fisher rule.pdf</t>
  </si>
  <si>
    <t>FOIA-FWS-2020-00724-0003829</t>
  </si>
  <si>
    <t>FOIA-FWS-2020-00724-0003830</t>
  </si>
  <si>
    <t>20200219_Notes_Briefing for RO Management on two DPS analyses.pdf</t>
  </si>
  <si>
    <t>FOIA-FWS-2020-00724-0003831</t>
  </si>
  <si>
    <t>no subject; SSN mini-RTM overview.docx is attached</t>
  </si>
  <si>
    <t>SSN mini-RTM overview.docx</t>
  </si>
  <si>
    <t>FOIA-FWS-2020-00724-0003833</t>
  </si>
  <si>
    <t>Fw: [EXTERNAL] Fisher Section 6</t>
  </si>
  <si>
    <t>FOIA-FWS-2020-00724-0003835</t>
  </si>
  <si>
    <t>Re: Fisher General Info Sections</t>
  </si>
  <si>
    <t>FOIA-FWS-2020-00724-0003836</t>
  </si>
  <si>
    <t>20200220_20200305_chat_Drake_Willy.pdf</t>
  </si>
  <si>
    <t>FOIA-FWS-2020-00724-0003837</t>
  </si>
  <si>
    <t>Re: California Spotted Owl Species Assessment Form</t>
  </si>
  <si>
    <t>FWS-R8-ES-2015-0139-0021.pdf</t>
  </si>
  <si>
    <t>FOIA-FWS-2020-00724-0003839</t>
  </si>
  <si>
    <t>fisher climate draft for review</t>
  </si>
  <si>
    <t>20200220_DRAFT Climate Change.docx</t>
  </si>
  <si>
    <t>FOIA-FWS-2020-00724-0003841</t>
  </si>
  <si>
    <t>fisher draft existing reg mech and vol cons meas</t>
  </si>
  <si>
    <t>20200220_draft Existing Reg Mech Vol Con Meas.docx</t>
  </si>
  <si>
    <t>FOIA-FWS-2020-00724-0003843</t>
  </si>
  <si>
    <t>DoNOTuse_20200221_Fisher 2 DPSs_final rule.pdf</t>
  </si>
  <si>
    <t>FOIA-FWS-2020-00724-0003844</t>
  </si>
  <si>
    <t>6_DRAFT toxicants summary language and SSN specific.pdf</t>
  </si>
  <si>
    <t>FOIA-FWS-2020-00724-0003845</t>
  </si>
  <si>
    <t>9_DRAFT 3R's and finding for SSN.pdf</t>
  </si>
  <si>
    <t>FOIA-FWS-2020-00724-0003846</t>
  </si>
  <si>
    <t>progress on determination section</t>
  </si>
  <si>
    <t>FOIA-FWS-2020-00724-0003847</t>
  </si>
  <si>
    <t>question on fisher home range estimate</t>
  </si>
  <si>
    <t>FOIA-FWS-2020-00724-0003848</t>
  </si>
  <si>
    <t>Fisher Draft Effects of Small Populations for Review</t>
  </si>
  <si>
    <t>20200221 Fisher Effects Associated With Small Population Size.docx</t>
  </si>
  <si>
    <t>FOIA-FWS-2020-00724-0003850</t>
  </si>
  <si>
    <t>Re: fisher climate draft for review</t>
  </si>
  <si>
    <t>20200220_DRAFT Climate Change_MKD.docx</t>
  </si>
  <si>
    <t>FOIA-FWS-2020-00724-0003852</t>
  </si>
  <si>
    <t>Re: Fisher Draft Effects of Small Populations for Review</t>
  </si>
  <si>
    <t>20200221 Fisher Effects Associated With Small Population Size_EW.docx</t>
  </si>
  <si>
    <t>FOIA-FWS-2020-00724-0003854</t>
  </si>
  <si>
    <t>Russell, Daniel; Crowell, Heidi; Livingston, Sue; Willy, Elizabeth; Eyes, Stephanie A; Drake, Madeline K; Hull, Josh; Glenne, Gina</t>
  </si>
  <si>
    <t>Fw: MOU (unsigned)</t>
  </si>
  <si>
    <t>CFLs Addendum to USFS SPI CF NFWF Fire Fuels MOU 2-12-2020 (003).docx</t>
  </si>
  <si>
    <t>FOIA-FWS-2020-00724-0003856</t>
  </si>
  <si>
    <t>Re: MOU (unsigned)</t>
  </si>
  <si>
    <t>FOIA-FWS-2020-00724-0003857</t>
  </si>
  <si>
    <t>Re: review of fisher listing package, week of March 2-6</t>
  </si>
  <si>
    <t>FOIA-FWS-2020-00724-0003858</t>
  </si>
  <si>
    <t>Hull, Josh; Russell, Daniel; Crowell, Heidi; Willy, Elizabeth; Drake, Madeline K; Eyes, Stephanie A; Glenne, Gina; Livingston, Sue</t>
  </si>
  <si>
    <t>Fisher small team call</t>
  </si>
  <si>
    <t>FOIA-FWS-2020-00724-0003859</t>
  </si>
  <si>
    <t>Re: Fisher skeleton document ready for your text now...reviews start Monday!</t>
  </si>
  <si>
    <t>SSN determination.docx</t>
  </si>
  <si>
    <t>FOIA-FWS-2020-00724-0003861</t>
  </si>
  <si>
    <t>RE: phone call</t>
  </si>
  <si>
    <t>FOIA-FWS-2020-00724-0003862</t>
  </si>
  <si>
    <t>RE: question</t>
  </si>
  <si>
    <t>FOIA-FWS-2020-00724-0003863</t>
  </si>
  <si>
    <t>Re: fisher draft existing reg mech and vol cons meas</t>
  </si>
  <si>
    <t>20170830 Signed Fire MOU.pdf</t>
  </si>
  <si>
    <t>20190419 Fire MOU Amendment.pdf</t>
  </si>
  <si>
    <t>20200220_draft Existing Reg Mech Vol Con Meas_MKD.docx</t>
  </si>
  <si>
    <t>MOU Fuels Reduction CFLs CALFIRE NFWF USFS for the CSO all signed.pdf</t>
  </si>
  <si>
    <t>MOU Fuels Reduction CFLs CALFIRE NFWF USFS for the NSO all signed.pdf</t>
  </si>
  <si>
    <t>FOIA-FWS-2020-00724-0003871</t>
  </si>
  <si>
    <t>FOIA-FWS-2020-00724-0003872</t>
  </si>
  <si>
    <t>FOIA-FWS-2020-00724-0003873</t>
  </si>
  <si>
    <t>FOIA-FWS-2020-00724-0003874</t>
  </si>
  <si>
    <t>2_DRAFT RULE_general _NCSO_SSN_toxicants_20200220.pdf</t>
  </si>
  <si>
    <t>FOIA-FWS-2020-00724-0003875</t>
  </si>
  <si>
    <t>2_DRAFT RULE_general _NCSO_SSN_toxicants_20200220_Clean.pdf</t>
  </si>
  <si>
    <t>FOIA-FWS-2020-00724-0003876</t>
  </si>
  <si>
    <t>2_DRAFT RULE_NCSO_dist and threats_20200218.pdf</t>
  </si>
  <si>
    <t>FOIA-FWS-2020-00724-0003877</t>
  </si>
  <si>
    <t>4_SSN_Threats_SEyes_20200214_1440.pdf</t>
  </si>
  <si>
    <t>FOIA-FWS-2020-00724-0003878</t>
  </si>
  <si>
    <t>FOIA-FWS-2020-00724-0003879</t>
  </si>
  <si>
    <t>Re: [EXTERNAL] RE: RE: MOU (unsigned)</t>
  </si>
  <si>
    <t>CFLs Addendum to USFS SPI CF NFWF Fire Fuels MOU 2-12-2020.pdf</t>
  </si>
  <si>
    <t>USFS SPI CF NFWF Fire MOU (CSO NSO Fisher) Execution Version SPI USFS CALFIRE signed.pdf</t>
  </si>
  <si>
    <t>FOIA-FWS-2020-00724-0003882</t>
  </si>
  <si>
    <t>FOIA-FWS-2020-00724-0003883</t>
  </si>
  <si>
    <t>Zablan, Marilet; Livingston, Sue</t>
  </si>
  <si>
    <t>FOIA-FWS-2020-00724-0003884</t>
  </si>
  <si>
    <t>FOIA-FWS-2020-00724-0003885</t>
  </si>
  <si>
    <t>DoNOTUse_20200221_Fisher 2 DPSs_final rule_skeleton for adding text.pdf</t>
  </si>
  <si>
    <t>FOIA-FWS-2020-00724-0003886</t>
  </si>
  <si>
    <t>DoNOTuse_20200226_0615_Fisher 2 DPSs_final rule_skeleton for adding text.pdf</t>
  </si>
  <si>
    <t>FOIA-FWS-2020-00724-0003887</t>
  </si>
  <si>
    <t>DO-NOT-USE_20200225_1015_Fisher 2 DPSs_final rule_skeleton for adding text.pdf</t>
  </si>
  <si>
    <t>FOIA-FWS-2020-00724-0003888</t>
  </si>
  <si>
    <t>Re: fisher HT-court rule date?</t>
  </si>
  <si>
    <t>FOIA-FWS-2020-00724-0003890</t>
  </si>
  <si>
    <t>FOIA-FWS-2020-00724-0003892</t>
  </si>
  <si>
    <t>Re: fisher SPI CCAA</t>
  </si>
  <si>
    <t>FOIA-FWS-2020-00724-0003893</t>
  </si>
  <si>
    <t>20200302_01 Final Feb 2020 supplemental information to 120919 comment letter.pdf</t>
  </si>
  <si>
    <t>FOIA-FWS-2020-00724-0003894</t>
  </si>
  <si>
    <t>Russell, Daniel; Hull, Josh; Livingston, Sue; Eyes, Stephanie A; Glenne, Gina; Willy, Elizabeth; Crowell, Heidi; Drake, Madeline K</t>
  </si>
  <si>
    <t>FOIA-FWS-2020-00724-0003895</t>
  </si>
  <si>
    <t>fire stuff from Fire in CA ecosystems book. The link in the email goes to a folder with the references cited including "Stephens etal 2018b North Coast Fire" and "Skinner etal 2018 Klamath Mountains Fire"</t>
  </si>
  <si>
    <t>FOIA-FWS-2020-00724-0003896</t>
  </si>
  <si>
    <t>Sue and Gina</t>
  </si>
  <si>
    <t>FOIA-FWS-2020-00724-0003897</t>
  </si>
  <si>
    <t>Eyes, Stephanie A; Glenne, Gina; Willy, Elizabeth</t>
  </si>
  <si>
    <t>RE: fire stuff from Fire in CA ecosystems book  The link in the email goes to a folder with the references cited including "Stephens et al 2018_NorthCoastBioregion_FireInCAEcosystemsBook" and "Skinner et al 2018_KlamathMountainsBioregion_FireInCAEcosystemsBook"</t>
  </si>
  <si>
    <t>FOIA-FWS-2020-00724-0003898</t>
  </si>
  <si>
    <t>20200228_Lambda and Carying Capacity with EKSA data.pdf</t>
  </si>
  <si>
    <t>FOIA-FWS-2020-00724-0003899</t>
  </si>
  <si>
    <t>20200228_Fisher 2 DPSs_final rule for review DCC.pdf</t>
  </si>
  <si>
    <t>FOIA-FWS-2020-00724-0003900</t>
  </si>
  <si>
    <t>20200228_Fisher 2 DPSs_final rule for review DCC_BDL.pdf</t>
  </si>
  <si>
    <t>FOIA-FWS-2020-00724-0003901</t>
  </si>
  <si>
    <t>20200228_Fisher 2 DPSs_final rule for review.pdf</t>
  </si>
  <si>
    <t>FOIA-FWS-2020-00724-0003902</t>
  </si>
  <si>
    <t>Ericson, Jenny; Senn, Michael J</t>
  </si>
  <si>
    <t>[EXTERNAL] USDA FS Region 5 supplemental information to the December 9, 2019, comment letter on the Fish and Wildlife Serviceâ€™s proposal to list the West Coast Distinct Population Segment of Fisher</t>
  </si>
  <si>
    <t>ATTACHMENT B February 2020 R5 Pacific Fisher Conservation Activities.docx</t>
  </si>
  <si>
    <t>scanned signed letter 022720.pdf</t>
  </si>
  <si>
    <t>FOIA-FWS-2020-00724-0003905</t>
  </si>
  <si>
    <t>WDFW report</t>
  </si>
  <si>
    <t>NOCA_CascadesFisherReintroduction_ProgReport_20190827.pdf</t>
  </si>
  <si>
    <t>FOIA-FWS-2020-00724-0003907</t>
  </si>
  <si>
    <t>Wong, Eva S -FS</t>
  </si>
  <si>
    <t>Ericson, Jenny; michael_</t>
  </si>
  <si>
    <t>[EXTERNAL] FW: 2670 correspondence letter for 01 Final Feb 2020 supplemental information to 120919 comment letter</t>
  </si>
  <si>
    <t>ATTACHMENT C_USFS FUELS REDUCTION PROJECTS 2017 TO 2019.pdf</t>
  </si>
  <si>
    <t>FOIA-FWS-2020-00724-0003910</t>
  </si>
  <si>
    <t>[EXTERNAL] Re: Fw: Section 6: Cannabis Impacts to Fisher proposal</t>
  </si>
  <si>
    <t>FOIA-FWS-2020-00724-0003911</t>
  </si>
  <si>
    <t>Picco, Angela; Russell, Daniel</t>
  </si>
  <si>
    <t>Fwd: [EXTERNAL] FW: 2670 correspondence letter for 01 Final Feb 2020 supplemental information to 120919 comment letter</t>
  </si>
  <si>
    <t>01 Final Feb 2020 supplemental information to 120919 comment letter.pdf</t>
  </si>
  <si>
    <t>ATTACHMENT A 12_9_19 Proposed Rule Comment Letter.pdf</t>
  </si>
  <si>
    <t>FOIA-FWS-2020-00724-0003914</t>
  </si>
  <si>
    <t>Download of fisher doc from yesterday</t>
  </si>
  <si>
    <t>20200226_0615_Fisher 2 DPSs_final rule_skeleton for adding text_download from 2-27 at 12pm.docx</t>
  </si>
  <si>
    <t>FOIA-FWS-2020-00724-0003916</t>
  </si>
  <si>
    <t>Souza, Paul; Holzworth, Jody K; Senn, Michael J; Fris, Michael; Garner, Kim; White, Rollie; Henson, Paul; Delia, Jesse; Fahey, Bridget; Snyder, Caitlin; O'Hara, Kerry</t>
  </si>
  <si>
    <t>Fisher final rule for your expedited review</t>
  </si>
  <si>
    <t>FOIA-FWS-2020-00724-0003918</t>
  </si>
  <si>
    <t>Henson, Paul; Garner, Kim; Delia, Jesse; White, Rollie</t>
  </si>
  <si>
    <t>FW: Fisher final rule for your expedited review</t>
  </si>
  <si>
    <t>FOIA-FWS-2020-00724-0003920</t>
  </si>
  <si>
    <t>FisherNewInfo and letters_March 2020.pdf</t>
  </si>
  <si>
    <t>FOIA-FWS-2020-00724-0003921</t>
  </si>
  <si>
    <t>Service 2020.pdf</t>
  </si>
  <si>
    <t>FOIA-FWS-2020-00724-0003922</t>
  </si>
  <si>
    <t xml:space="preserve">FisherNewInfo and letters_March 2020.xlsx
</t>
  </si>
  <si>
    <t>FOIA-FWS-2020-00724-0003923</t>
  </si>
  <si>
    <t>20200302_1550_CommentsandResponses.pdf</t>
  </si>
  <si>
    <t>FOIA-FWS-2020-00724-0003924</t>
  </si>
  <si>
    <t>DoNOTEdit_20200302_1530_Fisher 2DPSs_finalrule_skeletonforaddingtext.pdf</t>
  </si>
  <si>
    <t>FOIA-FWS-2020-00724-0003925</t>
  </si>
  <si>
    <t>DoNOTuse_Comments and Responses.pdf</t>
  </si>
  <si>
    <t>FOIA-FWS-2020-00724-0003926</t>
  </si>
  <si>
    <t>20200302_20200317_chat_Glenne_Russell.pdf</t>
  </si>
  <si>
    <t>FOIA-FWS-2020-00724-0003927</t>
  </si>
  <si>
    <t>20200302_ATTACHMENT B February 2020 R5 Pacific Fisher Conservation Activities.doc</t>
  </si>
  <si>
    <t>FOIA-FWS-2020-00724-0003928</t>
  </si>
  <si>
    <t>20200302_ATTACHMENT C_USFS FUELS REDUCTION PROJECTS 2017 TO 2019.pdf</t>
  </si>
  <si>
    <t>FOIA-FWS-2020-00724-0003929</t>
  </si>
  <si>
    <t xml:space="preserve">20200302_ATTACHMENT D1_NW_Owner.pdf
</t>
  </si>
  <si>
    <t>FOIA-FWS-2020-00724-0003930</t>
  </si>
  <si>
    <t>20200302_ATTACHMENT D2_NW_Status.pdf</t>
  </si>
  <si>
    <t>FOIA-FWS-2020-00724-0003931</t>
  </si>
  <si>
    <t xml:space="preserve">20200302_ATTACHMENT E1_NE_owner.pdf
</t>
  </si>
  <si>
    <t>FOIA-FWS-2020-00724-0003932</t>
  </si>
  <si>
    <t>20200302_ATTACHMENT E2_NE_status.pdf</t>
  </si>
  <si>
    <t>FOIA-FWS-2020-00724-0003933</t>
  </si>
  <si>
    <t>20200302_ATTACHMENT F1_CentralWest_owner.pdf</t>
  </si>
  <si>
    <t>FOIA-FWS-2020-00724-0003934</t>
  </si>
  <si>
    <t>FOIA-FWS-2020-00724-0003935</t>
  </si>
  <si>
    <t>20200302_ATTACHMENT G1_CentralEast_ownership.pdf</t>
  </si>
  <si>
    <t>FOIA-FWS-2020-00724-0003936</t>
  </si>
  <si>
    <t>20200302_ATTACHMENT G2_CentralEast_Status.pdf</t>
  </si>
  <si>
    <t>FOIA-FWS-2020-00724-0003937</t>
  </si>
  <si>
    <t>20200302_ATTACHMENT H1_SouthernSierra_owner.pdf</t>
  </si>
  <si>
    <t>FOIA-FWS-2020-00724-0003938</t>
  </si>
  <si>
    <t>20200302_ATTACHMENT H2_SouthernSierra_status.pdf</t>
  </si>
  <si>
    <t>FOIA-FWS-2020-00724-0003939</t>
  </si>
  <si>
    <t xml:space="preserve">20200302_ATTACHMENT I_CDFW_2015_StatusReview_PacificFisher_2015_0610_Final_Reduced.pdf
</t>
  </si>
  <si>
    <t>FOIA-FWS-2020-00724-0003940</t>
  </si>
  <si>
    <t>[EXTERNAL] RE: Updated info on OGSI-80 stands???</t>
  </si>
  <si>
    <t>FOIA-FWS-2020-00724-0003941</t>
  </si>
  <si>
    <t>Re: Fisher final rule for your expedited review</t>
  </si>
  <si>
    <t>FOIA-FWS-2020-00724-0003942</t>
  </si>
  <si>
    <t>Re: comment assignments  See the document titled "Assigned Subjects" elsewhere in this FOIA request.</t>
  </si>
  <si>
    <t>FOIA-FWS-2020-00724-0003943</t>
  </si>
  <si>
    <t>Re: Response to Comment response from Kerry?</t>
  </si>
  <si>
    <t>FOIA-FWS-2020-00724-0003944</t>
  </si>
  <si>
    <t>FW: 2670 correspondence letter for 01 Final Feb 2020 supplemental information to 120919 comment letter</t>
  </si>
  <si>
    <t>ATTACHMENT E1_NE_owner.pdf</t>
  </si>
  <si>
    <t>ATTACHMENT E2_NE_status.pdf</t>
  </si>
  <si>
    <t>FOIA-FWS-2020-00724-0003947</t>
  </si>
  <si>
    <t>ATTACHMENT F1_CentralWest_owner.pdf</t>
  </si>
  <si>
    <t>ATTACHMENT F2_CentralWest_status.pdf</t>
  </si>
  <si>
    <t>FOIA-FWS-2020-00724-0003950</t>
  </si>
  <si>
    <t>ATTACHMENT G1_CentralEast_ownership.pdf</t>
  </si>
  <si>
    <t>ATTACHMENT G2_CentralEast_Status.pdf</t>
  </si>
  <si>
    <t>FOIA-FWS-2020-00724-0003953</t>
  </si>
  <si>
    <t>ATTACHMENT I_CDFW_2015_StatusReview_PacificFisher_2015_0610_Final_Reduced.pdf</t>
  </si>
  <si>
    <t>FOIA-FWS-2020-00724-0003955</t>
  </si>
  <si>
    <t>Fw: 2670 correspondence letter for 01 Final Feb 2020 supplemental information to 120919 comment letter</t>
  </si>
  <si>
    <t>ATTACHMENT D1_NW_Owner.pdf</t>
  </si>
  <si>
    <t>ATTACHMENT D2_NW_Status.pdf</t>
  </si>
  <si>
    <t>FOIA-FWS-2020-00724-0003958</t>
  </si>
  <si>
    <t>FOIA-FWS-2020-00724-0003961</t>
  </si>
  <si>
    <t>ATTACHMENT H1_SouthernSierra_owner.pdf</t>
  </si>
  <si>
    <t>ATTACHMENT H2_SouthernSierra_status.pdf</t>
  </si>
  <si>
    <t>FOIA-FWS-2020-00724-0003964</t>
  </si>
  <si>
    <t>the latest version of the entire FR doc that I could successfully download with some comments</t>
  </si>
  <si>
    <t>20200302_1530_Fisher 2DPSs_finalrule_skeletonforaddingtext.docx</t>
  </si>
  <si>
    <t>FOIA-FWS-2020-00724-0003966</t>
  </si>
  <si>
    <t>comments and responses copy</t>
  </si>
  <si>
    <t>CommentsandResponses_20200302_1550.docx</t>
  </si>
  <si>
    <t>FOIA-FWS-2020-00724-0003968</t>
  </si>
  <si>
    <t>Russell, Daniel; Hull, Josh; Eyes, Stephanie A; Livingston, Sue; Glenne, Gina; Willy, Elizabeth; Crowell, Heidi; Drake, Madeline K</t>
  </si>
  <si>
    <t>New information/letters from USFS and others coming in on fisher...</t>
  </si>
  <si>
    <t>FOIA-FWS-2020-00724-0003969</t>
  </si>
  <si>
    <t>Snyder, Caitlin</t>
  </si>
  <si>
    <t>Fw: Fisher final rule for your expedited review</t>
  </si>
  <si>
    <t>20200228_Fisher 2 DPSs_final rule for review.docx</t>
  </si>
  <si>
    <t>FOIA-FWS-2020-00724-0003971</t>
  </si>
  <si>
    <t>20200303_fisher_BP.pdf</t>
  </si>
  <si>
    <t>FOIA-FWS-2020-00724-0003972</t>
  </si>
  <si>
    <t>20200303_fisher_BP_AP edits.pdf</t>
  </si>
  <si>
    <t>FOIA-FWS-2020-00724-0003973</t>
  </si>
  <si>
    <t>20200303_fisher_Note to reviewers.pdf</t>
  </si>
  <si>
    <t>FOIA-FWS-2020-00724-0003974</t>
  </si>
  <si>
    <t>20200303_fisher_Note to reviewers_AP edits.pdf</t>
  </si>
  <si>
    <t>FOIA-FWS-2020-00724-0003975</t>
  </si>
  <si>
    <t>comment 31</t>
  </si>
  <si>
    <t>Comment 31.docx</t>
  </si>
  <si>
    <t>FOIA-FWS-2020-00724-0003977</t>
  </si>
  <si>
    <t>Livingston, Sue; Chatel, John C -FS</t>
  </si>
  <si>
    <t>FOIA-FWS-2020-00724-0003978</t>
  </si>
  <si>
    <t>Matthews, Sean Michael; Green, David S</t>
  </si>
  <si>
    <t>Notes on phone conversation with Sean</t>
  </si>
  <si>
    <t>Matthews_2020_pers_comm.docx</t>
  </si>
  <si>
    <t>FOIA-FWS-2020-00724-0003980</t>
  </si>
  <si>
    <t>Glenne, Gina; Livingston, Sue; Willy, Elizabeth; Russell, Daniel; Picco, Angela; Crowell, Heidi; Drake, Madeline K</t>
  </si>
  <si>
    <t>Re: FR document edits (NOT the public comments and responses portion yet. . .)</t>
  </si>
  <si>
    <t>FOIA-FWS-2020-00724-0003981</t>
  </si>
  <si>
    <t>Re: comment 31</t>
  </si>
  <si>
    <t>Comment 31_SEyesAdditions.docx</t>
  </si>
  <si>
    <t>FOIA-FWS-2020-00724-0003983</t>
  </si>
  <si>
    <t>Glenne, Gina; Eyes, Stephanie A</t>
  </si>
  <si>
    <t>RE: comment 31</t>
  </si>
  <si>
    <t>FOIA-FWS-2020-00724-0003984</t>
  </si>
  <si>
    <t>Eyes, Stephanie A; Livingston, Sue</t>
  </si>
  <si>
    <t>Comments 31 and 40.docx</t>
  </si>
  <si>
    <t>FOIA-FWS-2020-00724-0003986</t>
  </si>
  <si>
    <t>Re: My assigned comments, responses, and deleted comments</t>
  </si>
  <si>
    <t>20200302 Fisher Public Comment MKD.docx</t>
  </si>
  <si>
    <t>FOIA-FWS-2020-00724-0003988</t>
  </si>
  <si>
    <t>the second of our joint comments...</t>
  </si>
  <si>
    <t>FOIA-FWS-2020-00724-0003989</t>
  </si>
  <si>
    <t>RE: one of our two joint comments...</t>
  </si>
  <si>
    <t>FOIA-FWS-2020-00724-0003990</t>
  </si>
  <si>
    <t>RE: the second of our joint comments...</t>
  </si>
  <si>
    <t>FOIA-FWS-2020-00724-0003991</t>
  </si>
  <si>
    <t>Master NCSO section document for editing</t>
  </si>
  <si>
    <t>20200226_0615_Fisher 2 DPSs_final rule_skeleton for adding text_download from 2-27 at 12pm_PreCommentCrash.docx</t>
  </si>
  <si>
    <t>MasterDocument_ONLYNCSOSection_20200303_1130.docx</t>
  </si>
  <si>
    <t>FOIA-FWS-2020-00724-0003994</t>
  </si>
  <si>
    <t>Re: Master NCSO section document for editing</t>
  </si>
  <si>
    <t>MasterDocument_ONLYNCSOSection_20200303_1245.docx</t>
  </si>
  <si>
    <t>FOIA-FWS-2020-00724-0003996</t>
  </si>
  <si>
    <t>Glenne, Gina; Eyes, Stephanie A; Willy, Elizabeth</t>
  </si>
  <si>
    <t>Comments 31 and 40_SL.docx</t>
  </si>
  <si>
    <t>FOIA-FWS-2020-00724-0003998</t>
  </si>
  <si>
    <t>Comments 31 and 40_SL_SE.docx</t>
  </si>
  <si>
    <t>FOIA-FWS-2020-00724-0004000</t>
  </si>
  <si>
    <t>Livingston, Sue; Glenne, Gina; Drake, Madeline K</t>
  </si>
  <si>
    <t>Re: quick check</t>
  </si>
  <si>
    <t>FOIA-FWS-2020-00724-0004001</t>
  </si>
  <si>
    <t>Picco, Angela; Russell, Daniel; Glenne, Gina; Willy, Elizabeth; Eyes, Stephanie A; Hull, Josh; Drake, Madeline K</t>
  </si>
  <si>
    <t>R1 comments on draft fisher rule</t>
  </si>
  <si>
    <t>FOIA-FWS-2020-00724-0004003</t>
  </si>
  <si>
    <t>Russell, Daniel; Livingston, Sue; Picco, Angela; Glenne, Gina; Willy, Elizabeth; Hull, Josh; Drake, Madeline K</t>
  </si>
  <si>
    <t>Re: R1 comments on draft fisher rule</t>
  </si>
  <si>
    <t>FOIA-FWS-2020-00724-0004004</t>
  </si>
  <si>
    <t>FW: FW: [EXTERNAL] Stirling population modeling manuscript</t>
  </si>
  <si>
    <t>GreenStirlingSCR_20200303.docx</t>
  </si>
  <si>
    <t>FOIA-FWS-2020-00724-0004006</t>
  </si>
  <si>
    <t>Re: Comment 2 - Distribution</t>
  </si>
  <si>
    <t>FOIA-FWS-2020-00724-0004007</t>
  </si>
  <si>
    <t>FOIA-FWS-2020-00724-0004008</t>
  </si>
  <si>
    <t>your comments</t>
  </si>
  <si>
    <t>FOIA-FWS-2020-00724-0004009</t>
  </si>
  <si>
    <t>RE: R1 comments on draft fisher rule</t>
  </si>
  <si>
    <t>FOIA-FWS-2020-00724-0004010</t>
  </si>
  <si>
    <t>Status of fisher documents</t>
  </si>
  <si>
    <t>FOIA-FWS-2020-00724-0004011</t>
  </si>
  <si>
    <t>FisherFinalRuleMasterDocument_20200304_NOCommentBubblesAllowed.pdf</t>
  </si>
  <si>
    <t>FOIA-FWS-2020-00724-0004012</t>
  </si>
  <si>
    <t>FisherFinalRuleMasterDocument1.pdf</t>
  </si>
  <si>
    <t>FOIA-FWS-2020-00724-0004013</t>
  </si>
  <si>
    <t>20200304_2020 Northern California Fisher Conservation Summary Report.pdf</t>
  </si>
  <si>
    <t>FOIA-FWS-2020-00724-0004014</t>
  </si>
  <si>
    <t>20200304_Exhibits and Attachments to 2020 Northern California Fisher Conservation Summary Report.pdf</t>
  </si>
  <si>
    <t>FOIA-FWS-2020-00724-0004015</t>
  </si>
  <si>
    <t>CTMTF 2020 Tree Mortality Viewer.pdf</t>
  </si>
  <si>
    <t>FOIA-FWS-2020-00724-0004016</t>
  </si>
  <si>
    <t>Re: Green et al 2019 citations  See "Green etal 2019a Forest fires have a short-term negative effect on the forest-dependent" elsewhere in this Fisher FOIA request.</t>
  </si>
  <si>
    <t>FOIA-FWS-2020-00724-0004017</t>
  </si>
  <si>
    <t>FOIA-FWS-2020-00724-0004018</t>
  </si>
  <si>
    <t>FOIA-FWS-2020-00724-0004019</t>
  </si>
  <si>
    <t>Hull, Josh; Russell, Daniel; Willy, Elizabeth; Glenne, Gina; Drake, Madeline K; Livingston, Sue; Crowell, Heidi; Eyes, Stephanie A</t>
  </si>
  <si>
    <t>Fw: Executed MOU</t>
  </si>
  <si>
    <t>Exhibit C - USFS SPI CF NFWF Fire MOU (CSO NSO Fisher) and CFL Addendum.pdf</t>
  </si>
  <si>
    <t>FOIA-FWS-2020-00724-0004021</t>
  </si>
  <si>
    <t>Delia, Jesse; Livingston, Sue</t>
  </si>
  <si>
    <t>just a brief addendum...</t>
  </si>
  <si>
    <t>FOIA-FWS-2020-00724-0004022</t>
  </si>
  <si>
    <t>Re: needing an HCP  The link in the email string still works.</t>
  </si>
  <si>
    <t>FOIA-FWS-2020-00724-0004023</t>
  </si>
  <si>
    <t>Re: needing an HCP  The Wikipedia links do not work. The link at the bottom of the email string still works.</t>
  </si>
  <si>
    <t>FOIA-FWS-2020-00724-0004024</t>
  </si>
  <si>
    <t>PALCO (HRC) HCP.pdf</t>
  </si>
  <si>
    <t>FOIA-FWS-2020-00724-0004026</t>
  </si>
  <si>
    <t>FOIA-FWS-2020-00724-0004027</t>
  </si>
  <si>
    <t>Angela_Picco@fws.gov Picco, Angela</t>
  </si>
  <si>
    <t>Daniel_Russell@fws.gov Russell, Daniel Josh_Hull@fws.gov Hull, Josh Gina_Glenne@fws.gov Glenne, Gina Sue_Livingston@fws.gov Livingston, Sue stephanie_eyes@fws.gov Eyes, Stephanie A Elizabeth_Willy@fws.gov Willy, Elizabeth Heidi_Crowell@fws.gov Crowell, Heidi madeline_drake@fws.gov Drake, Madeline K</t>
  </si>
  <si>
    <t>Re_ fisher final rule most current copy(1).pdf</t>
  </si>
  <si>
    <t>(1)20200304_Scanned copy of Fris review of fisher.pdf</t>
  </si>
  <si>
    <t>(2)20200304_Scanned copy of Fris review of fisher.pdf</t>
  </si>
  <si>
    <t>20200304_Scanned copy of Fris review of fisher.pdf</t>
  </si>
  <si>
    <t>FOIA-FWS-2020-00724-0004031</t>
  </si>
  <si>
    <t>Re: Green et al 2019 citations</t>
  </si>
  <si>
    <t>FOIA-FWS-2020-00724-0004032</t>
  </si>
  <si>
    <t>fisher final rule most current copy</t>
  </si>
  <si>
    <t>FisherFinalRuleMasterDocument.docx</t>
  </si>
  <si>
    <t>FOIA-FWS-2020-00724-0004034</t>
  </si>
  <si>
    <t>Russell, Daniel; Hull, Josh; Glenne, Gina; Livingston, Sue; Eyes, Stephanie A; Willy, Elizabeth; Crowell, Heidi; Drake, Madeline K</t>
  </si>
  <si>
    <t>Fw: fisher final rule most current copy</t>
  </si>
  <si>
    <t>FOIA-FWS-2020-00724-0004036</t>
  </si>
  <si>
    <t>FOIA-FWS-2020-00724-0004037</t>
  </si>
  <si>
    <t>stephanie_eyes@fws.gov Eyes, Stephanie A</t>
  </si>
  <si>
    <t>Re_ fisher final rule most current copy.pdf</t>
  </si>
  <si>
    <t>FisherFinalRuleMasterDocument_APpages1through.docx</t>
  </si>
  <si>
    <t>FOIA-FWS-2020-00724-0004039</t>
  </si>
  <si>
    <t>Fwd: [EXTERNAL] Fisher Publication  The links in this email all work.</t>
  </si>
  <si>
    <t>FOIA-FWS-2020-00724-0004040</t>
  </si>
  <si>
    <t>20200304_1528_CommentsandResponses.docx</t>
  </si>
  <si>
    <t>FOIA-FWS-2020-00724-0004042</t>
  </si>
  <si>
    <t>20200305_fisher_InfoMemo.pdf</t>
  </si>
  <si>
    <t>FOIA-FWS-2020-00724-0004043</t>
  </si>
  <si>
    <t>20200305_fisher_InfoMemo_AP edits.pdf</t>
  </si>
  <si>
    <t>FOIA-FWS-2020-00724-0004044</t>
  </si>
  <si>
    <t>20200305_20200312_chat_Drake_Crowell.pdf</t>
  </si>
  <si>
    <t>FOIA-FWS-2020-00724-0004045</t>
  </si>
  <si>
    <t>Re: your comments</t>
  </si>
  <si>
    <t>FOIA-FWS-2020-00724-0004046</t>
  </si>
  <si>
    <t>Re: time to talk Fisher today?</t>
  </si>
  <si>
    <t>FOIA-FWS-2020-00724-0004047</t>
  </si>
  <si>
    <t>WELCOME BACK READ THIS BEFORE WORKING ON FISHER DOC  The link in this email refers to a folder that was in the process of being updated. See the final references at https://www.regulations.gov/docket/FWS-R8-ES-2018-0105 for the final references cited.</t>
  </si>
  <si>
    <t>FOIA-FWS-2020-00724-0004048</t>
  </si>
  <si>
    <t>[EXTERNAL] Re: Notes on phone conversation with Sean</t>
  </si>
  <si>
    <t>Matthews_2020_pers_comm_smm_dsg.docx</t>
  </si>
  <si>
    <t>FOIA-FWS-2020-00724-0004050</t>
  </si>
  <si>
    <t>Crowell, Heidi; Willy, Elizabeth; Glenne, Gina; Livingston, Sue; Drake, Madeline K; Eyes, Stephanie A; Hull, Josh; Picco, Angela</t>
  </si>
  <si>
    <t>draft cumulative effects</t>
  </si>
  <si>
    <t>Draft cumulative effects section 3-5-20.docx</t>
  </si>
  <si>
    <t>FOIA-FWS-2020-00724-0004052</t>
  </si>
  <si>
    <t>Russell, Daniel; Picco, Angela</t>
  </si>
  <si>
    <t>Final rule</t>
  </si>
  <si>
    <t>FOIA-FWS-2020-00724-0004053</t>
  </si>
  <si>
    <t>Re: draft cumulative effects</t>
  </si>
  <si>
    <t>Draft cumulative effects section 3-5-20_EW.docx</t>
  </si>
  <si>
    <t>FOIA-FWS-2020-00724-0004055</t>
  </si>
  <si>
    <t>Fw: draft cumulative effects</t>
  </si>
  <si>
    <t>Draft cumulative effects section 3-6-20.docx</t>
  </si>
  <si>
    <t>FOIA-FWS-2020-00724-0004058</t>
  </si>
  <si>
    <t>FOIA-FWS-2020-00724-0004059</t>
  </si>
  <si>
    <t>Regional concurrence on final fisher rule</t>
  </si>
  <si>
    <t>FOIA-FWS-2020-00724-0004060</t>
  </si>
  <si>
    <t>Clean Responses to Comments document for the master file</t>
  </si>
  <si>
    <t>20200306_Fisher Comments and Responses_clean.docx</t>
  </si>
  <si>
    <t>FOIA-FWS-2020-00724-0004062</t>
  </si>
  <si>
    <t>FOIA-FWS-2020-00724-0004063</t>
  </si>
  <si>
    <t>latest google doc copy</t>
  </si>
  <si>
    <t>FisherFinalRule_ReviewerEdits_dwnld20200306_1315.docx</t>
  </si>
  <si>
    <t>FOIA-FWS-2020-00724-0004065</t>
  </si>
  <si>
    <t>Fwd: Fisher final rule for your expedited review. B. Fahey was forwarding Solicitor's email.</t>
  </si>
  <si>
    <t>FOIA-FWS-2020-00724-0004066</t>
  </si>
  <si>
    <t>Re: Response from Craig Thompson re Stehpanie's 5 female home range question</t>
  </si>
  <si>
    <t>FOIA-FWS-2020-00724-0004067</t>
  </si>
  <si>
    <t>current Word version</t>
  </si>
  <si>
    <t>FisherFinalRuleMasterDocument_DRussell_3-6-20.docx</t>
  </si>
  <si>
    <t>FOIA-FWS-2020-00724-0004069</t>
  </si>
  <si>
    <t>Fahey, Bridget; Snyder, Caitlin</t>
  </si>
  <si>
    <t>20200306_FisherFinalRuleMasterDocument_clean.docx</t>
  </si>
  <si>
    <t>FOIA-FWS-2020-00724-0004071</t>
  </si>
  <si>
    <t>latest copy of the google doc master document</t>
  </si>
  <si>
    <t>FisherFinalRuleMasterDocument_ReviewerEdits_dwnld20200306_1640.docx</t>
  </si>
  <si>
    <t>FOIA-FWS-2020-00724-0004073</t>
  </si>
  <si>
    <t>FOIA-FWS-2020-00724-0004074</t>
  </si>
  <si>
    <t>Picco, Angela; Snyder, Caitlin; Russell, Daniel; Fris, Michael</t>
  </si>
  <si>
    <t>20200306_FisherFinalRuleMasterDocument_DCC.docx</t>
  </si>
  <si>
    <t>FOIA-FWS-2020-00724-0004076</t>
  </si>
  <si>
    <t>Picco, Angela &lt;Angela_Picco@fws.gov&gt;</t>
  </si>
  <si>
    <t xml:space="preserve"> Russell, Daniel &lt;daniel_russell@fws.gov&gt;; Crowell, Heidi &lt;heidi_crowell@fws.gov&gt;</t>
  </si>
  <si>
    <t>Fwd: Fisher final rule for your concurrence, R9--Legacy R1--Concurrence.pdf</t>
  </si>
  <si>
    <t>FOIA-FWS-2020-00724-0004077</t>
  </si>
  <si>
    <t>20200306_20200309_chat_Drake_Picco.pdf</t>
  </si>
  <si>
    <t>FOIA-FWS-2020-00724-0004078</t>
  </si>
  <si>
    <t>20200309_20200311_chat_Drake_Russell.pdf</t>
  </si>
  <si>
    <t>FOIA-FWS-2020-00724-0004079</t>
  </si>
  <si>
    <t>Fahey, Bridget; Picco, Angela; Russell, Daniel; Fris, Michael</t>
  </si>
  <si>
    <t>20200228_Fisher 2 DPSs_final rule for review DCC_BDL.docx</t>
  </si>
  <si>
    <t>FOIA-FWS-2020-00724-0004081</t>
  </si>
  <si>
    <t>FW: fisher/cannabis The links in this email string still work.</t>
  </si>
  <si>
    <t>FOIA-FWS-2020-00724-0004082</t>
  </si>
  <si>
    <t>Tentative: Fisher small team call</t>
  </si>
  <si>
    <t>FOIA-FWS-2020-00724-0004083</t>
  </si>
  <si>
    <t>Russell, Daniel; Hull, Josh; Eyes, Stephanie A; Glenne, Gina; Livingston, Sue; Crowell, Heidi; Willy, Elizabeth; Drake, Madeline K</t>
  </si>
  <si>
    <t>Need your help addressing Bridget's comments on RTC section of fisher final rule...thank you!</t>
  </si>
  <si>
    <t>20200309_Fisher Comments and Responses_Bridget.docx</t>
  </si>
  <si>
    <t>FOIA-FWS-2020-00724-0004085</t>
  </si>
  <si>
    <t>Eyes, Stephanie A; Drake, Madeline K</t>
  </si>
  <si>
    <t>Fw: Need your help addressing Bridget's comments on RTC section of fisher final rule...thank you!</t>
  </si>
  <si>
    <t>FOIA-FWS-2020-00724-0004087</t>
  </si>
  <si>
    <t>Compare version of fisher final rule</t>
  </si>
  <si>
    <t>20200309_Fisher final rule_compare version for Fris.docx</t>
  </si>
  <si>
    <t>FOIA-FWS-2020-00724-0004089</t>
  </si>
  <si>
    <t>write-up and comment</t>
  </si>
  <si>
    <t>for Bob.docx</t>
  </si>
  <si>
    <t>FOIA-FWS-2020-00724-0004091</t>
  </si>
  <si>
    <t>Fisher Language for Response to Comment 22</t>
  </si>
  <si>
    <t>20200309 Fisher Response to Comment 22 MKD.docx</t>
  </si>
  <si>
    <t>FOIA-FWS-2020-00724-0004093</t>
  </si>
  <si>
    <t>Question on final rule language.</t>
  </si>
  <si>
    <t>FOIA-FWS-2020-00724-0004094</t>
  </si>
  <si>
    <t>comments and responses</t>
  </si>
  <si>
    <t>20200309_Fisher Comments and Responses_Bridget_SL_responses.docx</t>
  </si>
  <si>
    <t>FOIA-FWS-2020-00724-0004096</t>
  </si>
  <si>
    <t>RE: Need your help addressing Bridget's comments on RTC section of fisher final rule...thank you!</t>
  </si>
  <si>
    <t>20200309_Fisher Comments and Responses_Bridget (002) gg edits.docx</t>
  </si>
  <si>
    <t>FOIA-FWS-2020-00724-0004098</t>
  </si>
  <si>
    <t>Re: Need your help addressing Bridget's comments on RTC section of fisher final rule...thank you!</t>
  </si>
  <si>
    <t>FOIA-FWS-2020-00724-0004099</t>
  </si>
  <si>
    <t>FW: fisher ownership acres</t>
  </si>
  <si>
    <t>FOIA-FWS-2020-00724-0004101</t>
  </si>
  <si>
    <t>Team SSN Response to Comments</t>
  </si>
  <si>
    <t>20200309_Fisher Comments and Responses_Bridget_SSN.docx</t>
  </si>
  <si>
    <t>FOIA-FWS-2020-00724-0004103</t>
  </si>
  <si>
    <t>Ownership</t>
  </si>
  <si>
    <t>FOIA-FWS-2020-00724-0004104</t>
  </si>
  <si>
    <t>Re: Team SSN Response to Comments</t>
  </si>
  <si>
    <t>FOIA-FWS-2020-00724-0004105</t>
  </si>
  <si>
    <t>Comments and Responses document for your additions and to paste into main document</t>
  </si>
  <si>
    <t>20200309_Fisher Comments and Responses_Bridget review incorporated.docx</t>
  </si>
  <si>
    <t>FOIA-FWS-2020-00724-0004107</t>
  </si>
  <si>
    <t>Norman, Kate</t>
  </si>
  <si>
    <t>Fw: Fisher final rule (OFWO review)</t>
  </si>
  <si>
    <t>FOIA-FWS-2020-00724-0004108</t>
  </si>
  <si>
    <t>Re: fisher ownership acres</t>
  </si>
  <si>
    <t>Fisher_DPS_Ownership_3920.xlsx</t>
  </si>
  <si>
    <t>FOIA-FWS-2020-00724-0004110</t>
  </si>
  <si>
    <t>Re: question 33</t>
  </si>
  <si>
    <t>FOIA-FWS-2020-00724-0004111</t>
  </si>
  <si>
    <t>Fisher final rule for your concurrence</t>
  </si>
  <si>
    <t>FOIA-FWS-2020-00724-0004113</t>
  </si>
  <si>
    <t>Henson, Paul; Garner, Kim; Delia, Jesse; White, Rollie; Rowland, Craig</t>
  </si>
  <si>
    <t>RE: Fisher final rule for your expedited review</t>
  </si>
  <si>
    <t>FOIA-FWS-2020-00724-0004114</t>
  </si>
  <si>
    <t>Package docs for your review</t>
  </si>
  <si>
    <t>20200303_fisher_BP.docx</t>
  </si>
  <si>
    <t>20200303_fisher_Note to reviewers.docx</t>
  </si>
  <si>
    <t>20200305_fisher_InfoMemo.docx</t>
  </si>
  <si>
    <t>FOIA-FWS-2020-00724-0004118</t>
  </si>
  <si>
    <t>Willy, Elizabeth; Picco, Angela; Russell, Daniel; Hull, Josh; Drake, Madeline K; Glenne, Gina</t>
  </si>
  <si>
    <t>RE: Missing fisher reference info</t>
  </si>
  <si>
    <t>FOIA-FWS-2020-00724-0004119</t>
  </si>
  <si>
    <t>Re: Package docs for your review</t>
  </si>
  <si>
    <t>FOIA-FWS-2020-00724-0004120</t>
  </si>
  <si>
    <t>RE: fisher population trend table</t>
  </si>
  <si>
    <t>FOIA-FWS-2020-00724-0004121</t>
  </si>
  <si>
    <t>RE: GIS analysis</t>
  </si>
  <si>
    <t>FOIA-FWS-2020-00724-0004122</t>
  </si>
  <si>
    <t>Livingston, Sue; Willy, Elizabeth; Drake, Madeline K; Russell, Daniel; Crowell, Heidi; Picco, Angela</t>
  </si>
  <si>
    <t>ownership acres and percent</t>
  </si>
  <si>
    <t>20200310_DPS Acres.xlsx.xlsx</t>
  </si>
  <si>
    <t>FOIA-FWS-2020-00724-0004124</t>
  </si>
  <si>
    <t>RE: revisions to the response to comments section</t>
  </si>
  <si>
    <t>FOIA-FWS-2020-00724-0004125</t>
  </si>
  <si>
    <t>comment 45!</t>
  </si>
  <si>
    <t>FOIA-FWS-2020-00724-0004126</t>
  </si>
  <si>
    <t>Re: comment 45!</t>
  </si>
  <si>
    <t>FOIA-FWS-2020-00724-0004127</t>
  </si>
  <si>
    <t>Fisher doc - final markup draft</t>
  </si>
  <si>
    <t>FisherFinalRuleMasterDocument_DR_3-10-20_330pm.docx</t>
  </si>
  <si>
    <t>FOIA-FWS-2020-00724-0004129</t>
  </si>
  <si>
    <t>20200311_fisher_BP_DCC.pdf</t>
  </si>
  <si>
    <t>FOIA-FWS-2020-00724-0004130</t>
  </si>
  <si>
    <t>20200311_fisher_InfoMemo.pdf</t>
  </si>
  <si>
    <t>FOIA-FWS-2020-00724-0004131</t>
  </si>
  <si>
    <t>20200311_fisher_InfoMemo_cs.pdf</t>
  </si>
  <si>
    <t>FOIA-FWS-2020-00724-0004132</t>
  </si>
  <si>
    <t>20200311_fisher_InfoMemo_cs_DCC.pdf</t>
  </si>
  <si>
    <t>FOIA-FWS-2020-00724-0004133</t>
  </si>
  <si>
    <t>20200311_fisher_Note to reviewers.pdf</t>
  </si>
  <si>
    <t>FOIA-FWS-2020-00724-0004134</t>
  </si>
  <si>
    <t>20200311_fisher_Note to reviewers_cs.pdf</t>
  </si>
  <si>
    <t>FOIA-FWS-2020-00724-0004135</t>
  </si>
  <si>
    <t>20200311_FisherFinalRule_1215pm.pdf</t>
  </si>
  <si>
    <t>FOIA-FWS-2020-00724-0004136</t>
  </si>
  <si>
    <t>20200311_FisherFinalRule_1215pm_TO RSOL.pdf</t>
  </si>
  <si>
    <t>FOIA-FWS-2020-00724-0004137</t>
  </si>
  <si>
    <t>20200311_20200311_Chat_GALLOWAY_DRAKE.pdf</t>
  </si>
  <si>
    <t>FOIA-FWS-2020-00724-0004138</t>
  </si>
  <si>
    <t>20200311_20200317_Chat_GALLOWAY_GLENNE.pdf</t>
  </si>
  <si>
    <t>FOIA-FWS-2020-00724-0004139</t>
  </si>
  <si>
    <t>fisher final rule RD surname page</t>
  </si>
  <si>
    <t>20200309_Fisher final rule_RD surname page.pdf</t>
  </si>
  <si>
    <t>FOIA-FWS-2020-00724-0004141</t>
  </si>
  <si>
    <t>RE: and another thing . . .</t>
  </si>
  <si>
    <t>FOIA-FWS-2020-00724-0004142</t>
  </si>
  <si>
    <t>Livingston, Sue; Glenne, Gina; Hull, Josh; Willy, Elizabeth</t>
  </si>
  <si>
    <t>Re: missing cited documents</t>
  </si>
  <si>
    <t>FOIA-FWS-2020-00724-0004143</t>
  </si>
  <si>
    <t>Fw: ownership acres and percent</t>
  </si>
  <si>
    <t>FOIA-FWS-2020-00724-0004145</t>
  </si>
  <si>
    <t>Re: references cited question</t>
  </si>
  <si>
    <t>FOIA-FWS-2020-00724-0004146</t>
  </si>
  <si>
    <t>FOIA-FWS-2020-00724-0004148</t>
  </si>
  <si>
    <t>Livingston, Sue; Hull, Josh; Drake, Madeline K; Willy, Elizabeth</t>
  </si>
  <si>
    <t>RE: missing cited documents</t>
  </si>
  <si>
    <t>FOIA-FWS-2020-00724-0004149</t>
  </si>
  <si>
    <t>Picco, Angela; Crowell, Heidi</t>
  </si>
  <si>
    <t>Document for PRB</t>
  </si>
  <si>
    <t>20200311_FisherFinalRule_1215pm.docx</t>
  </si>
  <si>
    <t>FOIA-FWS-2020-00724-0004151</t>
  </si>
  <si>
    <t>Cleaned version for your review</t>
  </si>
  <si>
    <t>FOIA-FWS-2020-00724-0004153</t>
  </si>
  <si>
    <t>Wilkinson, Susan; Prigan, Sara; Eanett, Jillian H; Craghead, Anissa</t>
  </si>
  <si>
    <t>Re: Early heads up that fisher rule is coming your way and will need expedited review...thank you!</t>
  </si>
  <si>
    <t>FOIA-FWS-2020-00724-0004155</t>
  </si>
  <si>
    <t>Sawyer, Susan; Snow, Meghan K</t>
  </si>
  <si>
    <t>Q&amp;A</t>
  </si>
  <si>
    <t>3.27.15.Internal.q.a.docx</t>
  </si>
  <si>
    <t>Final Q&amp;A Fisher West Coast DPS Withdrawal_Internal.docx</t>
  </si>
  <si>
    <t>FOIA-FWS-2020-00724-0004158</t>
  </si>
  <si>
    <t>Cleaned up Word version of rule</t>
  </si>
  <si>
    <t>FOIA-FWS-2020-00724-0004160</t>
  </si>
  <si>
    <t>RE: ownership acres and percent</t>
  </si>
  <si>
    <t>NCSO_Boundary.dbf</t>
  </si>
  <si>
    <t>NCSO_Boundary.prj</t>
  </si>
  <si>
    <t>NCSO_Boundary.sbn</t>
  </si>
  <si>
    <t>NCSO_Boundary.sbx</t>
  </si>
  <si>
    <t>NCSO_Boundary.shp</t>
  </si>
  <si>
    <t>NCSO_Boundary.shp.xml</t>
  </si>
  <si>
    <t>NCSO_Boundary.shx</t>
  </si>
  <si>
    <t>Fisher_SSN_Boundary.dbf</t>
  </si>
  <si>
    <t>Fisher_SSN_Boundary.prj</t>
  </si>
  <si>
    <t>Fisher_SSN_Boundary.sbn</t>
  </si>
  <si>
    <t>Fisher_SSN_Boundary.sbx</t>
  </si>
  <si>
    <t>Fisher_SSN_Boundary.shp</t>
  </si>
  <si>
    <t>Fisher_SSN_Boundary.shp.xml</t>
  </si>
  <si>
    <t>Fisher_SSN_Boundary.shx</t>
  </si>
  <si>
    <t>FOIA-FWS-2020-00724-0004175</t>
  </si>
  <si>
    <t>Fisher_NCSO_Boundary.dbf</t>
  </si>
  <si>
    <t>Fisher_NCSO_Boundary.prj</t>
  </si>
  <si>
    <t>Fisher_NCSO_Boundary.sbn</t>
  </si>
  <si>
    <t>Fisher_NCSO_Boundary.sbx</t>
  </si>
  <si>
    <t>Fisher_NCSO_Boundary.shp</t>
  </si>
  <si>
    <t>Fisher_NCSO_Boundary.shp.xml</t>
  </si>
  <si>
    <t>Fisher_NCSO_Boundary.shx</t>
  </si>
  <si>
    <t>FOIA-FWS-2020-00724-0004183</t>
  </si>
  <si>
    <t>Re: ownership acres and percent</t>
  </si>
  <si>
    <t>FOIA-FWS-2020-00724-0004184</t>
  </si>
  <si>
    <t>Re: New information/letters from USFS and others coming in on fisher.  The folder link is no longer available. It contains the documents titled: â€œ20200302_01 Final Feb 2020 supplemental information to 120919 comment letterâ€, â€œ20200302_ATTACHMENT A 12_9_19 Proposed Rule Comment Letterâ€, â€œ20200302_ATTACHMENT B February 2020 R5 Pacific Fisher Conservation Activitiesâ€, â€œ20200302_ATTACHMENT C_USFS FUELS REDUCTION PROJECTS 2017 TO 2019â€, â€œ20200302_ATTACHMENT Dl_NW_Ownerâ€, â€œ20200302_ATTACHMENT D2_NW_Statusâ€, â€œ20200302_ATTACHMENT E1_NE_ownerâ€, â€œ20200302_ATTACHMENT E2_NE_statusâ€, â€œ20200302_ATTACHMENT Fl _CentralWest_ownerâ€, â€œ20200302_ATTACHMENT F2_CentralWest_statusâ€, â€œ20200302_ATTAC HMENT G1_CentralEast_ownershipâ€, â€œ20200302_ATTACHMENT G2_CentralEast_Statusâ€, â€œ20200302_ATTACHMENT Hl_SouthernSierra_ownerâ€, â€œ20200302_ATTACHMENT H2_SouthernSierra_statusâ€, â€œ20200302_ATTACHMENT I_CDFW_201S_StatusReview_PacificFisher_201S_0610_Final_Reducedâ€, â€œ20200304_2020 Northern California Fisher Conservation Summary Reportâ€, â€œ20200304_Exhibits and Attachments to 2020 Northern California Fisher Conservation Summary Reportâ€, â€œ20200317_1348Attachment_Application of Confidence Intervals in Fisher Listing Determinationâ€, â€œ20200317_1348_Email_Application of confidence intervals for fisher listing determinationâ€, â€œFisherNewInfo and letters_March 2020â€ which can be found elsewhere in this FOIA response.</t>
  </si>
  <si>
    <t>FOIA-FWS-2020-00724-0004185</t>
  </si>
  <si>
    <t>Picco, Angela; Russell, Daniel; Hull, Josh; Eyes, Stephanie A; Livingston, Sue; Glenne, Gina; Crowell, Heidi; Drake, Madeline K</t>
  </si>
  <si>
    <t>Re: New information/letters from USFS and others coming in on fisher...</t>
  </si>
  <si>
    <t>FOIA-FWS-2020-00724-0004186</t>
  </si>
  <si>
    <t>Hull, Josh; Drake, Madeline K; Glenne, Gina; Livingston, Sue; Willy, Elizabeth; Crowell, Heidi; O'Hara, Kerry</t>
  </si>
  <si>
    <t>Fw: Cleaned version for your review</t>
  </si>
  <si>
    <t>20200311_FisherFinalRule_1215pm_TO RSOL.docx</t>
  </si>
  <si>
    <t>FOIA-FWS-2020-00724-0004188</t>
  </si>
  <si>
    <t>Russell, Daniel; Hull, Josh; Drake, Madeline K; Glenne, Gina; Livingston, Sue; Crowell, Heidi</t>
  </si>
  <si>
    <t>Re: Cleaned version for your review</t>
  </si>
  <si>
    <t>FOIA-FWS-2020-00724-0004189</t>
  </si>
  <si>
    <t>Russell, Daniel; Hull, Josh; Drake, Madeline K; Glenne, Gina; Willy, Elizabeth; Crowell, Heidi; O'Hara, Kerry</t>
  </si>
  <si>
    <t>RE: Cleaned version for your review</t>
  </si>
  <si>
    <t>FOIA-FWS-2020-00724-0004190</t>
  </si>
  <si>
    <t>Russell, Daniel; Hull, Josh; Drake, Madeline K; Livingston, Sue; Willy, Elizabeth; Crowell, Heidi; O'Hara, Kerry</t>
  </si>
  <si>
    <t>20200311_FisherFinalRule_1215pm_TO RSOL_gg.docx</t>
  </si>
  <si>
    <t>FOIA-FWS-2020-00724-0004192</t>
  </si>
  <si>
    <t>FOIA-FWS-2020-00724-0004194</t>
  </si>
  <si>
    <t>Livingston, Sue; Russell, Daniel; Hull, Josh; Drake, Madeline K; Glenne, Gina; Crowell, Heidi</t>
  </si>
  <si>
    <t>FOIA-FWS-2020-00724-0004195</t>
  </si>
  <si>
    <t>FOIA-FWS-2020-00724-0004196</t>
  </si>
  <si>
    <t>Meredith, Lauren K</t>
  </si>
  <si>
    <t>Hausman, Alyssa B</t>
  </si>
  <si>
    <t>RE: Bakersfield HCP Grant $$</t>
  </si>
  <si>
    <t>FOIA-FWS-2020-00724-0004197</t>
  </si>
  <si>
    <t>Re: Fisher Listing Rule Request from HQ</t>
  </si>
  <si>
    <t>FOIA-FWS-2020-00724-0004198</t>
  </si>
  <si>
    <t>FOIA-FWS-2020-00724-0004199</t>
  </si>
  <si>
    <t>20200313_FisherFinalRule.pdf</t>
  </si>
  <si>
    <t>FOIA-FWS-2020-00724-0004200</t>
  </si>
  <si>
    <t>Fisher New Edits to put in PRB version.pdf</t>
  </si>
  <si>
    <t>FOIA-FWS-2020-00724-0004201</t>
  </si>
  <si>
    <t>FisherFinalRule_3.13.20_prb.pdf</t>
  </si>
  <si>
    <t>FOIA-FWS-2020-00724-0004202</t>
  </si>
  <si>
    <t>Fw: fisher listing decision (internal - predecisional)</t>
  </si>
  <si>
    <t>FOIA-FWS-2020-00724-0004203</t>
  </si>
  <si>
    <t>Russell, Daniel; Drake, Madeline K</t>
  </si>
  <si>
    <t>FOIA-FWS-2020-00724-0004204</t>
  </si>
  <si>
    <t>Track Changes - fisher new edits to copy into PRB version</t>
  </si>
  <si>
    <t>Fisher New Edits to put in PRB version.docx</t>
  </si>
  <si>
    <t>FOIA-FWS-2020-00724-0004206</t>
  </si>
  <si>
    <t>Russell, Daniel; Picco, Angela; Crowell, Heidi</t>
  </si>
  <si>
    <t>FisherFinalRule_3.13.20_prb.docx</t>
  </si>
  <si>
    <t>FOIA-FWS-2020-00724-0004208</t>
  </si>
  <si>
    <t>Wilkinson, Susan; Russell, Daniel; Crowell, Heidi</t>
  </si>
  <si>
    <t>FOIA-FWS-2020-00724-0004209</t>
  </si>
  <si>
    <t>MASTER fisher file ready for additional core team edits</t>
  </si>
  <si>
    <t>FOIA-FWS-2020-00724-0004210</t>
  </si>
  <si>
    <t>20200317_1348 Attachment_Application of Confidence Intervals in Fisher Listing Determination.pdf</t>
  </si>
  <si>
    <t>FOIA-FWS-2020-00724-0004211</t>
  </si>
  <si>
    <t>Fw: FYI, reminder for fisher folks and SFWOre: planning to develop a recovery outline, 30 days after final rule publishes. Four attachments in the Fwd: DCN: 0678989 - Final Recovery... email sting titled "067989 Signed Memorandum", "Final recovery outline guidance and template - 4-25-2018", "Memo FINAL Recovery Outline Guidance and Template_5-2-18_v2",  and "Revised Recovery Outline Guidance - 2018 - NTR" which can be found elsewhere in this FOIA response.</t>
  </si>
  <si>
    <t>FOIA-FWS-2020-00724-0004212</t>
  </si>
  <si>
    <t>FOIA-FWS-2020-00724-0004213</t>
  </si>
  <si>
    <t>Livingston, Sue; Picco, Angela; Russell, Daniel; Crowell, Heidi; Hull, Josh; Eyes, Stephanie A; Willy, Elizabeth; Drake, Madeline K</t>
  </si>
  <si>
    <t>RE: Comments on fisher final determination. This email was forwarded and responded to Sol's comments.</t>
  </si>
  <si>
    <t>fisher final determination KO Comments 20200313_for team response_SL_edits_GG.docx</t>
  </si>
  <si>
    <t>FOIA-FWS-2020-00724-0004215</t>
  </si>
  <si>
    <t>FOIA-FWS-2020-00724-0004216</t>
  </si>
  <si>
    <t>fisher ownership acres</t>
  </si>
  <si>
    <t>Fisher Ownership Tables.docx</t>
  </si>
  <si>
    <t>FOIA-FWS-2020-00724-0004218</t>
  </si>
  <si>
    <t>Willy, Elizabeth; Drake, Madeline K; Russell, Daniel</t>
  </si>
  <si>
    <t>SPI CCAA renewal language</t>
  </si>
  <si>
    <t>FOIA-FWS-2020-00724-0004219</t>
  </si>
  <si>
    <t>Crowell, Heidi; Livingston, Sue; Willy, Elizabeth; Glenne, Gina; Drake, Madeline K; Hull, Josh</t>
  </si>
  <si>
    <t>Fw: [EXTERNAL] FW: Application of Confidence Intervals in Fisher Listing Determination</t>
  </si>
  <si>
    <t>Application of Confidence Intervals in Fisher Listing Determination.pdf</t>
  </si>
  <si>
    <t>FOIA-FWS-2020-00724-0004221</t>
  </si>
  <si>
    <t>FW: SPI fisher CCAA and other ideas</t>
  </si>
  <si>
    <t>FOIA-FWS-2020-00724-0004222</t>
  </si>
  <si>
    <t>FW: [EXTERNAL] FW: Signed MOUs for NSO and CSO</t>
  </si>
  <si>
    <t>Amendment No  1 to MOU_Extension of Expiration Date all signed.pdf</t>
  </si>
  <si>
    <t>FOIA-FWS-2020-00724-0004226</t>
  </si>
  <si>
    <t>Re: [EXTERNAL] FW: Signed MOUs for NSO and CSO</t>
  </si>
  <si>
    <t>Appendix 5.6 2017 MOU Fuels Reduction SPI CALFIRE NFWF USFS.pdf</t>
  </si>
  <si>
    <t>FOIA-FWS-2020-00724-0004228</t>
  </si>
  <si>
    <t>Willy, Elizabeth; Glenne, Gina; Livingston, Sue; Drake, Madeline K; Hull, Josh</t>
  </si>
  <si>
    <t>NEED YOUR HELP ON A COUPLE CITATIONS STILL</t>
  </si>
  <si>
    <t>FOIA-FWS-2020-00724-0004229</t>
  </si>
  <si>
    <t>MOU draft</t>
  </si>
  <si>
    <t>mou draft 20200317.docx This document contains Solicitor's comments and FWS response.</t>
  </si>
  <si>
    <t>FOIA-FWS-2020-00724-0004231</t>
  </si>
  <si>
    <t>Crowell, Heidi; Glenne, Gina; Livingston, Sue; Drake, Madeline K; Hull, Josh</t>
  </si>
  <si>
    <t>Re: NEED YOUR HELP ON A COUPLE CITATIONS STILL</t>
  </si>
  <si>
    <t>FOIA-FWS-2020-00724-0004232</t>
  </si>
  <si>
    <t>RE: MOU draft</t>
  </si>
  <si>
    <t>mou draft 20200317_gg_edits.docx</t>
  </si>
  <si>
    <t>FOIA-FWS-2020-00724-0004234</t>
  </si>
  <si>
    <t>fisher updated responses to SOL comments</t>
  </si>
  <si>
    <t>fisher final determination KO Comments 20200313_for team response_EWrevised2.docx</t>
  </si>
  <si>
    <t>FOIA-FWS-2020-00724-0004236</t>
  </si>
  <si>
    <t>Glenne, Gina; Willy, Elizabeth; Livingston, Sue; Crowell, Heidi; Hull, Josh</t>
  </si>
  <si>
    <t>FOIA-FWS-2020-00724-0004237</t>
  </si>
  <si>
    <t>Willy, Elizabeth; Russell, Daniel; Crowell, Heidi; Glenne, Gina; Drake, Madeline K; Hull, Josh</t>
  </si>
  <si>
    <t>RE: [EXTERNAL] FW: Application of Confidence Intervals in Fisher Listing Determination</t>
  </si>
  <si>
    <t>FOIA-FWS-2020-00724-0004238</t>
  </si>
  <si>
    <t>FOIA-FWS-2020-00724-0004239</t>
  </si>
  <si>
    <t>fire paragraph</t>
  </si>
  <si>
    <t>Fire-risk_paragraph_20200318.docx</t>
  </si>
  <si>
    <t>FOIA-FWS-2020-00724-0004240</t>
  </si>
  <si>
    <t>Re: Can you update me and Bridget on status?</t>
  </si>
  <si>
    <t>DATE_FisherFinalRule_track changes_DR 3-18 version.docx</t>
  </si>
  <si>
    <t>FOIA-FWS-2020-00724-0004242</t>
  </si>
  <si>
    <t>Fisher - my best attempt</t>
  </si>
  <si>
    <t>DATE_FisherFinalRule_track changes_DR 3-19 version.docx</t>
  </si>
  <si>
    <t>DATE_FisherFinalRule_track changes_DR 3-19(a) version.docx</t>
  </si>
  <si>
    <t>FOIA-FWS-2020-00724-0004245</t>
  </si>
  <si>
    <t>20200320_Fisher final rule.pdf</t>
  </si>
  <si>
    <t>FOIA-FWS-2020-00724-0004246</t>
  </si>
  <si>
    <t>20200320_fisher_References Cited.pdf</t>
  </si>
  <si>
    <t>FOIA-FWS-2020-00724-0004247</t>
  </si>
  <si>
    <t>FOIA-FWS-2020-00724-0004248</t>
  </si>
  <si>
    <t>Fisher final rule 20200319 KO Comments to (a) version_DR_0320_KO edit to p 82 20200320.pdf</t>
  </si>
  <si>
    <t>FOIA-FWS-2020-00724-0004249</t>
  </si>
  <si>
    <t>Fisher final version for surname</t>
  </si>
  <si>
    <t>Fisher final rule 20200319 KO Comments to (a) version_DR_0320.docx</t>
  </si>
  <si>
    <t>Fisher final rule 20200319 KO Comments to (a) version_DR_0320_CLEAN.docx</t>
  </si>
  <si>
    <t>FOIA-FWS-2020-00724-0004252</t>
  </si>
  <si>
    <t>Snyder, Caitlin; Fahey, Bridget</t>
  </si>
  <si>
    <t>FYI, fisher is sitting on your doorstep</t>
  </si>
  <si>
    <t>FOIA-FWS-2020-00724-0004253</t>
  </si>
  <si>
    <t>Glenne, Gina; Livingston, Sue; Willy, Elizabeth; Drake, Madeline K</t>
  </si>
  <si>
    <t>URGENT, fisher---found an error in our response to Comment 30</t>
  </si>
  <si>
    <t>FOIA-FWS-2020-00724-0004254</t>
  </si>
  <si>
    <t>Crowell, Heidi; Glenne, Gina; Willy, Elizabeth; Drake, Madeline K</t>
  </si>
  <si>
    <t>RE: URGENT, fisher---found an error in our response to Comment 30</t>
  </si>
  <si>
    <t>FOIA-FWS-2020-00724-0004255</t>
  </si>
  <si>
    <t>20200323_Fisher final rule.pdf</t>
  </si>
  <si>
    <t>FOIA-FWS-2020-00724-0004256</t>
  </si>
  <si>
    <t>20200323_Fisher final rule_clean.pdf</t>
  </si>
  <si>
    <t>FOIA-FWS-2020-00724-0004257</t>
  </si>
  <si>
    <t>20200323_fisher_BP_clean.pdf</t>
  </si>
  <si>
    <t>FOIA-FWS-2020-00724-0004258</t>
  </si>
  <si>
    <t>20200323_fisher_InfoMemo_clean.pdf</t>
  </si>
  <si>
    <t>FOIA-FWS-2020-00724-0004259</t>
  </si>
  <si>
    <t>20200323_fisher_Note to reviewers.pdf</t>
  </si>
  <si>
    <t>FOIA-FWS-2020-00724-0004260</t>
  </si>
  <si>
    <t>Re: Revision of sentence in fisher rule</t>
  </si>
  <si>
    <t>FOIA-FWS-2020-00724-0004261</t>
  </si>
  <si>
    <t>Re: fisher question</t>
  </si>
  <si>
    <t>FOIA-FWS-2020-00724-0004262</t>
  </si>
  <si>
    <t>FOIA-FWS-2020-00724-0004263</t>
  </si>
  <si>
    <t>Fw: Influence of topography and fuels on fire refugia probability under varying fire weather in forests of the US Pacific Northwest</t>
  </si>
  <si>
    <t>Meigs et al 2020 influence of topography and fuels.pdf</t>
  </si>
  <si>
    <t>FOIA-FWS-2020-00724-0004265</t>
  </si>
  <si>
    <t>FW: [EXTERNAL] F18AP00488 Final Performance Report</t>
  </si>
  <si>
    <t>F18AP00488 Final Performance Report 20200324.docx.pdf</t>
  </si>
  <si>
    <t>FOIA-FWS-2020-00724-0004267</t>
  </si>
  <si>
    <t>RE: [EXTERNAL] F18AP00488 Final Performance Report</t>
  </si>
  <si>
    <t>FOIA-FWS-2020-00724-0004268</t>
  </si>
  <si>
    <t>FW: [EXTERNAL] Fisher Observation</t>
  </si>
  <si>
    <t>Fisher Location.dbf</t>
  </si>
  <si>
    <t>Fisher Location.prj</t>
  </si>
  <si>
    <t>Fisher Location.sbn</t>
  </si>
  <si>
    <t>Fisher Location.sbx</t>
  </si>
  <si>
    <t>Fisher Location.shp</t>
  </si>
  <si>
    <t>Fisher Location.shp.xml</t>
  </si>
  <si>
    <t>Fisher Location.shx</t>
  </si>
  <si>
    <t>Fisher Observation March 20, 2020.pdf</t>
  </si>
  <si>
    <t>FOIA-FWS-2020-00724-0004277</t>
  </si>
  <si>
    <t>Garner, Kim; Thrailkill, Jim; Henson, Paul</t>
  </si>
  <si>
    <t>FW: Latest version of fisher rule</t>
  </si>
  <si>
    <t>20200320_Fisher final rule.docx</t>
  </si>
  <si>
    <t>Track Changes from Previous HQ review.docx</t>
  </si>
  <si>
    <t>FOIA-FWS-2020-00724-0004280</t>
  </si>
  <si>
    <t>Re: Latest version of fisher rule (and other things)</t>
  </si>
  <si>
    <t>FOIA-FWS-2020-00724-0004281</t>
  </si>
  <si>
    <t>Pritchard, Kyle - FS</t>
  </si>
  <si>
    <t>Re: [EXTERNAL] FW: Fisher on northern forests</t>
  </si>
  <si>
    <t>FOIA-FWS-2020-00724-0004282</t>
  </si>
  <si>
    <t>20200407_Fisher final rule_redline.pdf</t>
  </si>
  <si>
    <t>FOIA-FWS-2020-00724-0004283</t>
  </si>
  <si>
    <t>20200420_Fisher final rule_redline with Exec Sec.pdf</t>
  </si>
  <si>
    <t>FOIA-FWS-2020-00724-0004284</t>
  </si>
  <si>
    <t>fisher DPS boundary shapefile</t>
  </si>
  <si>
    <t>FOIA-FWS-2020-00724-0004285</t>
  </si>
  <si>
    <t>RE: fisher DPS boundary shapefile</t>
  </si>
  <si>
    <t>FOIA-FWS-2020-00724-0004286</t>
  </si>
  <si>
    <t>draft memo language</t>
  </si>
  <si>
    <t>Draft RD memo.docx</t>
  </si>
  <si>
    <t>FOIA-FWS-2020-00724-0004288</t>
  </si>
  <si>
    <t>Re: draft memo language</t>
  </si>
  <si>
    <t>20200422_Draft RD memo_AP edits.docx</t>
  </si>
  <si>
    <t>FOIA-FWS-2020-00724-0004290</t>
  </si>
  <si>
    <t>FOIA-FWS-2020-00724-0004291</t>
  </si>
  <si>
    <t>Re: most recent talking points: fisher</t>
  </si>
  <si>
    <t>Fisher-QA-Draft-Apr15.2020_AllEdits.docx</t>
  </si>
  <si>
    <t>FOIA-FWS-2020-00724-0004293</t>
  </si>
  <si>
    <t>FOIA-FWS-2020-00724-0004294</t>
  </si>
  <si>
    <t>Ericson, Jenny; Sawyer, Susan</t>
  </si>
  <si>
    <t>RE: fisher talking pts/FAQs</t>
  </si>
  <si>
    <t>FOIA-FWS-2020-00724-0004295</t>
  </si>
  <si>
    <t>Fw: fisher talking pts/FAQs</t>
  </si>
  <si>
    <t>FOIA-FWS-2020-00724-0004297</t>
  </si>
  <si>
    <t>RE: Fisher final rule</t>
  </si>
  <si>
    <t>FOIA-FWS-2020-00724-0004298</t>
  </si>
  <si>
    <t>Fw: Prep for Fisher Final Rule Publication/Press Release</t>
  </si>
  <si>
    <t>FOIA-FWS-2020-00724-0004300</t>
  </si>
  <si>
    <t>RE: Prep for Fisher Final Rule Publication/Press Release</t>
  </si>
  <si>
    <t>FOIA-FWS-2020-00724-0004301</t>
  </si>
  <si>
    <t>20200424_Fisher final rule_clean.pdf</t>
  </si>
  <si>
    <t>FOIA-FWS-2020-00724-0004302</t>
  </si>
  <si>
    <t>Eanett, Jillian H</t>
  </si>
  <si>
    <t>Literature for regulations.gov - Fisher final listing decision</t>
  </si>
  <si>
    <t>20200320_fisher_References Cited_GreenHighlight not Readily Available.docx</t>
  </si>
  <si>
    <t>FOIA-FWS-2020-00724-0004304</t>
  </si>
  <si>
    <t>Re: Literature for regulations.gov - Fisher final listing decision</t>
  </si>
  <si>
    <t>FOIA-FWS-2020-00724-0004305</t>
  </si>
  <si>
    <t>Russell, Daniel; Fris, Michael</t>
  </si>
  <si>
    <t>FOIA-FWS-2020-00724-0004307</t>
  </si>
  <si>
    <t>Snyder, Caitlin; Galst, Carey; Goldfarb, Joan R; Gilbert, Parks; Russell, Daniel</t>
  </si>
  <si>
    <t>Re: Fisher rule</t>
  </si>
  <si>
    <t>FOIA-FWS-2020-00724-0004308</t>
  </si>
  <si>
    <t>Fris, Michael; Souza, Paul; Senn, Michael J; Picco, Angela</t>
  </si>
  <si>
    <t>Re:</t>
  </si>
  <si>
    <t>20200424_Draft RD memo.docx</t>
  </si>
  <si>
    <t>FOIA-FWS-2020-00724-0004310</t>
  </si>
  <si>
    <t>Ericson, Jenny; Glenne, Gina; Livingston, Sue; Willy, Elizabeth; Norris, Jennifer; Hull, Josh</t>
  </si>
  <si>
    <t>Fw: DELIVERED TO THE OFR: Final listing determination for the fisher</t>
  </si>
  <si>
    <t>FOIA-FWS-2020-00724-0004311</t>
  </si>
  <si>
    <t>Fris, Michael; Senn, Michael J; Picco, Angela; Souza, Paul</t>
  </si>
  <si>
    <t>Fisher Decision Rationale</t>
  </si>
  <si>
    <t>20200424_Fisher Rationale Memo.pdf</t>
  </si>
  <si>
    <t>FOIA-FWS-2020-00724-0004313</t>
  </si>
  <si>
    <t>Fisher Data</t>
  </si>
  <si>
    <t>Considered_Exclusions_20191112_Fprj.dbf</t>
  </si>
  <si>
    <t>Considered_Exclusions_20191112_Fprj.prj</t>
  </si>
  <si>
    <t>Considered_Exclusions_20191112_Fprj.sbn</t>
  </si>
  <si>
    <t>Considered_Exclusions_20191112_Fprj.sbx</t>
  </si>
  <si>
    <t>Considered_Exclusions_20191112_Fprj.shp</t>
  </si>
  <si>
    <t>Considered_Exclusions_20191112_Fprj.shp.xml</t>
  </si>
  <si>
    <t>Considered_Exclusions_20191112_Fprj.shx</t>
  </si>
  <si>
    <t>Fisher_PCHab_NCSO_SSN_BLM_SMA_Wilderness_NatMon_CAfireCK.dbf</t>
  </si>
  <si>
    <t>Fisher_PCHab_NCSO_SSN_BLM_SMA_Wilderness_NatMon_CAfireCK.prj</t>
  </si>
  <si>
    <t>Fisher_PCHab_NCSO_SSN_BLM_SMA_Wilderness_NatMon_CAfireCK.sbn</t>
  </si>
  <si>
    <t>Fisher_PCHab_NCSO_SSN_BLM_SMA_Wilderness_NatMon_CAfireCK.sbx</t>
  </si>
  <si>
    <t>Fisher_PCHab_NCSO_SSN_BLM_SMA_Wilderness_NatMon_CAfireCK.shp</t>
  </si>
  <si>
    <t>Fisher_PCHab_NCSO_SSN_BLM_SMA_Wilderness_NatMon_CAfireCK.shp.xml</t>
  </si>
  <si>
    <t>Fisher_PCHab_NCSO_SSN_BLM_SMA_Wilderness_NatMon_CAfireCK.shx</t>
  </si>
  <si>
    <t>FOIA-FWS-2020-00724-0004328</t>
  </si>
  <si>
    <t>1_Fisher-FINAL_FaQs_042720.pdf</t>
  </si>
  <si>
    <t>FOIA-FWS-2020-00724-0004329</t>
  </si>
  <si>
    <t>1_Fisher-FINAL-CommStrat042720.pdf</t>
  </si>
  <si>
    <t>FOIA-FWS-2020-00724-0004330</t>
  </si>
  <si>
    <t>Drake, Madeline K; Russell, Daniel</t>
  </si>
  <si>
    <t>Re: Urgent request: Fisher-eastern Sierra NV range?</t>
  </si>
  <si>
    <t>FOIA-FWS-2020-00724-0004331</t>
  </si>
  <si>
    <t>Bierce, Pamela; Senn, Michael J; Glenne, Gina; Ericson, Jenny</t>
  </si>
  <si>
    <t>Fw: Fisher-eastern Sierra NV range</t>
  </si>
  <si>
    <t>FOIA-FWS-2020-00724-0004332</t>
  </si>
  <si>
    <t>Re: Final fisher range map</t>
  </si>
  <si>
    <t>Fisher Range from Final Rule.jpg</t>
  </si>
  <si>
    <t>FOIA-FWS-2020-00724-0004334</t>
  </si>
  <si>
    <t>Fisher SSN Counties.pdf</t>
  </si>
  <si>
    <t>FOIA-FWS-2020-00724-0004336</t>
  </si>
  <si>
    <t>2018-1213_1444_PPT for fisher meeting 12_18_2019_02_Att1_West Coast DPS of Fisher_Briefing.pdf</t>
  </si>
  <si>
    <t>FOIA-FWS-2020-00724-0004337</t>
  </si>
  <si>
    <t>Snow, Meghan K; Bierce, Pamela; Gilkeson, Joanna C</t>
  </si>
  <si>
    <t>Fw: cool fisher pic-DelNorte Co.</t>
  </si>
  <si>
    <t>IMG_0138.jpg</t>
  </si>
  <si>
    <t>FOIA-FWS-2020-00724-0004339</t>
  </si>
  <si>
    <t>Re: cool fisher pic-DelNorte Co.</t>
  </si>
  <si>
    <t>FOIA-FWS-2020-00724-0004340</t>
  </si>
  <si>
    <t>Corbett, Miel</t>
  </si>
  <si>
    <t>FW: OFR and fisher</t>
  </si>
  <si>
    <t>FOIA-FWS-2020-00724-0004341</t>
  </si>
  <si>
    <t>Bierce, Pamela; Snow, Meghan K; Gilkeson, Joanna C; Heil, John C</t>
  </si>
  <si>
    <t>FOIA-FWS-2020-00724-0004342</t>
  </si>
  <si>
    <t>Snow, Meghan K; Markegard, Sarah I</t>
  </si>
  <si>
    <t>RE: Please Review: Tribal Letter for Fisher decision</t>
  </si>
  <si>
    <t>Fisher.Tribal Letter.SFWO.05.04.2020_RK.docx</t>
  </si>
  <si>
    <t>FOIA-FWS-2020-00724-0004344</t>
  </si>
  <si>
    <t>Markegard, Sarah I</t>
  </si>
  <si>
    <t>Re: Please Review: Tribal Letter for Fisher decision</t>
  </si>
  <si>
    <t>FOIA-FWS-2020-00724-0004345</t>
  </si>
  <si>
    <t>FW: clarify fisher comment please?</t>
  </si>
  <si>
    <t>FOIA-FWS-2020-00724-0004346</t>
  </si>
  <si>
    <t>Sawyer, Susan; Henson, Paul</t>
  </si>
  <si>
    <t>RE: clarify fisher comment please?</t>
  </si>
  <si>
    <t>FOIA-FWS-2020-00724-0004347</t>
  </si>
  <si>
    <t>Fw: [EXTERNAL] SCHEDULED: Document Number - 2020-09153</t>
  </si>
  <si>
    <t>FOIA-FWS-2020-00724-0004348</t>
  </si>
  <si>
    <t>Fw: For submittal to OFR - Fisher final listing rule -- DUE TO OFR TODAY BECAUSE OF COURT ORDER</t>
  </si>
  <si>
    <t>20200424_Fisher final rule_clean.docx</t>
  </si>
  <si>
    <t>FOIA-FWS-2020-00724-0004350</t>
  </si>
  <si>
    <t>Materna, Elizabeth; Ericson, Jenny; Glenne, Gina</t>
  </si>
  <si>
    <t>Re: R-10 fisher FR outreach plan</t>
  </si>
  <si>
    <t>FOIA-FWS-2020-00724-0004351</t>
  </si>
  <si>
    <t>Snow, Meghan K; Gilkeson, Joanna C; Materna, Elizabeth</t>
  </si>
  <si>
    <t>Final fisher docs</t>
  </si>
  <si>
    <t>1_Fisher-FINAL_FaQs_042720.docx</t>
  </si>
  <si>
    <t>1_Fisher-FINAL-CommStrat042720.docx</t>
  </si>
  <si>
    <t>1-Fisher-Final NR_051120.docx</t>
  </si>
  <si>
    <t>FOIA-FWS-2020-00724-0004355</t>
  </si>
  <si>
    <t>tribal outreach sample emails, ltr</t>
  </si>
  <si>
    <t>1-Fisher-TRIBAL-FRLtrDraft-Rev042820.docx</t>
  </si>
  <si>
    <t>FOIA-FWS-2020-00724-0004357</t>
  </si>
  <si>
    <t>RE: Tribal notification letter for fisher announcement</t>
  </si>
  <si>
    <t>Fisher Final Tribal Notification 5.12.2020.docx</t>
  </si>
  <si>
    <t>FOIA-FWS-2020-00724-0004359</t>
  </si>
  <si>
    <t>Hull, Josh; Kuyper, Richard; Eyes, Stephanie A; Norris, Jennifer</t>
  </si>
  <si>
    <t>Fisher Rollout Starting at 11AM Today</t>
  </si>
  <si>
    <t>FOIA-FWS-2020-00724-0004363</t>
  </si>
  <si>
    <t>Snow, Meghan K; Hull, Josh; Eyes, Stephanie A; Norris, Jennifer</t>
  </si>
  <si>
    <t>RE: Fisher Rollout Starting at 11AM Today</t>
  </si>
  <si>
    <t>FOIA-FWS-2020-00724-0004364</t>
  </si>
  <si>
    <t>RE: Signature on tribal letter</t>
  </si>
  <si>
    <t>Fisher.Tribal Letter.SFWO.05.06.2020.FINAL.docx</t>
  </si>
  <si>
    <t>FOIA-FWS-2020-00724-0004366</t>
  </si>
  <si>
    <t>Tribal Email to Send out  The final listing rule is available here: https://www.federalregister.gov/documents/2020/05/15/2020-09153/endangered-and-threatened-wildlife-and-plants-endangered-species-status-for-southern-sierra-nevada The news release link can be found here: https://www.fws.gov/news/ShowNews.cfm?_ID=36562</t>
  </si>
  <si>
    <t>Fisher.Tribal Letter.SFWO.05.06.2020.FINAL.signed.pdf</t>
  </si>
  <si>
    <t>FOIA-FWS-2020-00724-0004368</t>
  </si>
  <si>
    <t>FWS to protect the Southern Sierra Nevada population of fisher as endangered  The final listing rule is available here: https://www.federalregister.gov/documents/2020/05/15/2020-09153/endangered-and-threatened-wildlife-and-plants-endangered-species-status-for-southern-sierra-nevada The news release link can be found here: https://www.fws.gov/news/ShowNews.cfm?_ID=36562</t>
  </si>
  <si>
    <t>FOIA-FWS-2020-00724-0004370</t>
  </si>
  <si>
    <t>FYI: FWS to protect the Southern Sierra Nevada population of fisher as endangered  The final listing rule is available here: https://www.federalregister.gov/documents/2020/05/15/2020-09153/endangered-and-threatened-wildlife-and-plants-endangered-species-status-for-southern-sierra-nevada The news release link can be found here: https://www.fws.gov/news/ShowNews.cfm?_ID=36562</t>
  </si>
  <si>
    <t>FOIA-FWS-2020-00724-0004371</t>
  </si>
  <si>
    <t>Grant Northrop</t>
  </si>
  <si>
    <t>Re: [EXTERNAL] Re: Links for Fisher  The fws.kfgsit.com links require a password and are no longer available. The Federal Register and the news release links still work.</t>
  </si>
  <si>
    <t>FOIA-FWS-2020-00724-0004372</t>
  </si>
  <si>
    <t>FOIA-FWS-2020-00724-0004373</t>
  </si>
  <si>
    <t>FOIA-FWS-2020-00724-0004374</t>
  </si>
  <si>
    <t xml:space="preserve">FYI: FWS to protect the Southern Sierra Nevada population of fisher as endangered  The final listing rule is available here: https://www.federalregister.gov/documents/2020/05/15/2020-09153/endangered-and-threatened-wildlife-and-plants-endangered-species-status-for-southern-sierra-nevada The news release link can be found here: https://www.fws.gov/news/ShowNews.cfm?_ID=36562 </t>
  </si>
  <si>
    <t>FOIA-FWS-2020-00724-0004375</t>
  </si>
  <si>
    <t>FOIA-FWS-2020-00724-0004376</t>
  </si>
  <si>
    <t>FOIA-FWS-2020-00724-0004377</t>
  </si>
  <si>
    <t>FOIA-FWS-2020-00724-0004378</t>
  </si>
  <si>
    <t>Senn, Michael J; Fris, Michael; Holzworth, Jody K; Souza, Paul; Heil, John C; Ericson, Jenny; Norris, Jennifer; Sawyer, Susan; Snow, Meghan K; Carranza, Lee A; Gilkeson, Joanna C; Glenne, Gina</t>
  </si>
  <si>
    <t>FWS delivers split decision on small West Coast mammal</t>
  </si>
  <si>
    <t>FOIA-FWS-2020-00724-0004379</t>
  </si>
  <si>
    <t>Notice: FWS to Announces Final Determination for Pacific Fisher.  The link in the email is referring to https://www.regulations.gov/docket/FWS-R8-ES-2018-0105</t>
  </si>
  <si>
    <t>1-Fisher-Final NR_051120.pdf</t>
  </si>
  <si>
    <t>FOIA-FWS-2020-00724-0004381</t>
  </si>
  <si>
    <t>Fw: Notice: FWS to Announces Final Determination for Pacific Fisher. The link in the email is referring to https://www.regulations.gov/docket/FWS-R8-ES-2018-0105</t>
  </si>
  <si>
    <t>FOIA-FWS-2020-00724-0004383</t>
  </si>
  <si>
    <t>RE: Fisher listing decision news release. The link for the public reading room has expired and is no longer available. The final listing rule is available here: https://www.federalregister.gov/documents/2020/05/15/2020-09153/endangered-and-threatened-wildlife-and-plants-endangered-species-status-for-southern-sierra-nevada</t>
  </si>
  <si>
    <t>FOIA-FWS-2020-00724-0004384</t>
  </si>
  <si>
    <t>sanfran@courthousenews.com</t>
  </si>
  <si>
    <t>Fisher final rule inquiry</t>
  </si>
  <si>
    <t>FOIA-FWS-2020-00724-0004385</t>
  </si>
  <si>
    <t>FWS-R8-ES-2018-0105-0152_content.pdf</t>
  </si>
  <si>
    <t>FOIA-FWS-2020-00724-0004386</t>
  </si>
  <si>
    <t>Ericson, Jenny; Glenne, Gina; Bierce, Pamela</t>
  </si>
  <si>
    <t>OPBs fisher decision story  The link in this email still works.</t>
  </si>
  <si>
    <t>FOIA-FWS-2020-00724-0004387</t>
  </si>
  <si>
    <t>Kuyper, Richard; Seymour, Jill-Marie; Vogel, Ian M; Kirby, Rebecca; Eyes, Stephanie A</t>
  </si>
  <si>
    <t>Re: fisher final rule in FR  The link in the email string works.</t>
  </si>
  <si>
    <t>FOIA-FWS-2020-00724-0004388</t>
  </si>
  <si>
    <t>Re: Fisher Communications Update  Most of th elinks in this email string still work.  The nytimes link doesn't work but is a repeat of the Reuters article. The eenews article requires a password. The last link "just published a story" is presumably referring to the same eenews article as above?</t>
  </si>
  <si>
    <t>FOIA-FWS-2020-00724-0004389</t>
  </si>
  <si>
    <t>RE: Fisher-legal notice draft</t>
  </si>
  <si>
    <t>FOIA-FWS-2020-00724-0004390</t>
  </si>
  <si>
    <t>compare docs DCC comments.pdf</t>
  </si>
  <si>
    <t>FOIA-FWS-2020-00724-0004391</t>
  </si>
  <si>
    <t>20200711_fisher_reference.xlsx</t>
  </si>
  <si>
    <t>FOIA-FWS-2020-00724-0004392</t>
  </si>
  <si>
    <t>SFI_2015_StandardsandRules_Section2.pdf</t>
  </si>
  <si>
    <t>FOIA-FWS-2020-00724-0004393</t>
  </si>
  <si>
    <t>Spencer et al 2016_SSN Fisher ConservationStrategy_Ver1.pdf</t>
  </si>
  <si>
    <t>FOIA-FWS-2020-00724-0004394</t>
  </si>
  <si>
    <t>20200302_ATTACHMENT B February 2020 R5 Pacific Fisher Conservation Activities.pdf</t>
  </si>
  <si>
    <t>FOIA-FWS-2020-00724-0004395</t>
  </si>
  <si>
    <t>Safford etal 2012 Chapter 3-Climate Change and the Relevance of Historical Forest Conditions.pdf</t>
  </si>
  <si>
    <t>FOIA-FWS-2020-00724-0004396</t>
  </si>
  <si>
    <t>Davis et al 2016 NWFP 20 yr report NSO habitat_pnw_gtr929.pdf</t>
  </si>
  <si>
    <t>FOIA-FWS-2020-00724-0004397</t>
  </si>
  <si>
    <t>Service 2016 Final Species Report, Fisher, West Coast Populations(1).pdf</t>
  </si>
  <si>
    <t>FOIA-FWS-2020-00724-0004398</t>
  </si>
  <si>
    <t>Kohlmann etal 2005 population-viability-analysis-is.pdf</t>
  </si>
  <si>
    <t>FOIA-FWS-2020-00724-0004399</t>
  </si>
  <si>
    <t>Spies_etal_2018_NWFP_Science_synthesis_Vol1_pnw_gtr966.pdf</t>
  </si>
  <si>
    <t>FOIA-FWS-2020-00724-0004400</t>
  </si>
  <si>
    <t>Stine_Spies_2018_NWFP_science_synthesis_Introduction_pnw_gtr966_Vol1.pdf</t>
  </si>
  <si>
    <t>FOIA-FWS-2020-00724-0004401</t>
  </si>
  <si>
    <t>Odion etal 2004 Patterns of Fire Severity and Forest Conditions.pdf</t>
  </si>
  <si>
    <t>FOIA-FWS-2020-00724-0004402</t>
  </si>
  <si>
    <t>Happe_etal_2016_OLYM_Fisher_2015ProgressReport.pdf</t>
  </si>
  <si>
    <t>FOIA-FWS-2020-00724-0004403</t>
  </si>
  <si>
    <t>Fisher_Persistence_Analysis_INF_Sep2019.pdf</t>
  </si>
  <si>
    <t>FOIA-FWS-2020-00724-0004404</t>
  </si>
  <si>
    <t>2017-1026_1043_Final annual report for the Olympic Fisher Project_02_Att1_OLYM_Fisher_2016_ProgressReport_20170927_fagan.pdf</t>
  </si>
  <si>
    <t>FOIA-FWS-2020-00724-0004405</t>
  </si>
  <si>
    <t>Davis_EtAl_2015_trends old growth forests.pdf</t>
  </si>
  <si>
    <t>FOIA-FWS-2020-00724-0000844</t>
  </si>
  <si>
    <t>FOIA-FWS-2020-00724-0000880</t>
  </si>
  <si>
    <t>FOIA-FWS-2020-00724-0001724</t>
  </si>
  <si>
    <t>FOIA-FWS-2020-00724-0001863</t>
  </si>
  <si>
    <t>FOIA-FWS-2020-00724-0001876</t>
  </si>
  <si>
    <t>FOIA-FWS-2020-00724-0002101</t>
  </si>
  <si>
    <t>FOIA-FWS-2020-00724-0002147</t>
  </si>
  <si>
    <t>FOIA-FWS-2020-00724-0002150</t>
  </si>
  <si>
    <t>FOIA-FWS-2020-00724-0003667</t>
  </si>
  <si>
    <t>FOIA-FWS-2020-00724-0004214</t>
  </si>
  <si>
    <t>FOIA-FWS-2020-00724-0004230</t>
  </si>
  <si>
    <t>FOIA-FWS-2020-00724-0004235</t>
  </si>
  <si>
    <t>FOIA-FWS-2020-00724-0004279</t>
  </si>
  <si>
    <t>From</t>
  </si>
  <si>
    <t>To</t>
  </si>
  <si>
    <t>Redacted</t>
  </si>
  <si>
    <t>Parent Document Number</t>
  </si>
  <si>
    <t>Document Number (and hyperlink)</t>
  </si>
  <si>
    <t>Parent (P) or Attachment (A)</t>
  </si>
  <si>
    <t>Document Type</t>
  </si>
  <si>
    <t>Privilege Category</t>
  </si>
  <si>
    <t>Attorney Client Communication;</t>
  </si>
  <si>
    <t>Not Privileged</t>
  </si>
  <si>
    <t>Attorney Client Communication; Attorney Work Product</t>
  </si>
  <si>
    <t>FOIA Exemption</t>
  </si>
  <si>
    <t>Exemption 5</t>
  </si>
  <si>
    <t>Attorney Client Communication</t>
  </si>
  <si>
    <t>Personally Identifiable Information</t>
  </si>
  <si>
    <t>Attorney Client Communication; Attorney Work Product; Personally Identifiable Information</t>
  </si>
  <si>
    <t>Exemption 6</t>
  </si>
  <si>
    <t>Attorney Client Communication; Attorney Work Product; Commercial Information</t>
  </si>
  <si>
    <t>Attorney Work Product</t>
  </si>
  <si>
    <t>Personally Identifiable Information; Commercial Information</t>
  </si>
  <si>
    <t>langerer@fs.fed.us; jaugustine@biologicaldiversity.org; rbarrett@berkeley.edu; mlbaumbach@fs.fed.us; Shelly.Blair@wildlife.ca.gov; jdb139@humboldt.edu; rbridgman@fs.fed.us; johnb@cserc.org; Esther.Burkett@wildlife.ca.gov; clburnett@fs.fed.us; byrds@sce.com; Carey, Robert L; dclayton@fs.fed.us; deana.clifford@wildlife.ca.gov; Karen.Converse@wildlife.ca.gov; cmdejuilio@fs.fed.us; jad97@humboldt.edu; rdouglas@mendoco.com; bobbyd@sor.timberproducts.com; jed@garciaandassociates.com; dearly@greendiamond.com; tengstrom@spi-ind.com; Facka, Aaron; stuf@wmbeaty.com; Pete.Figura@wildlife.ca.gov; Finley, Laura; meganf@cserc.org; pflick@defenders.org; nfrancine@fs.fed.us; sfullerton@campbellgroup.com; brett.furnas@wildlife.ca.gov; mgabriel@iercecology.org; rgalloway@fs.fed.us; tatiana@vandals.uidaho.edu; dbear@wildblue.net; Green, David S; regreen@ucdavis.edu; khamm@greendiamond.com; jharris@parks.ca.gov; mhigley@hoopa-nsn.gov; thopkins@fs.fed.us; lehoyle@fs.fed.us; bjohnson@collinsco.com; jkelley@spi-ind.com; Kirby, Rebecca; rklug@landvest.com; pkrueger@fs.fed.us; Kuyper, Richard; Russ.Landers@wildlife.ca.gov; enlang@fs.fed.us; lewisjcl@dfw.wa.gov; tmlowe@fs.fed.us; mhigley@hoopa-nsn.gov; Matthews, Sean Michael; jsm67@humboldt.edu; emcgregor@fs.fed.us; dmeekins@campbellgroup.com; mniblett@geog.ucsb.edu; aotto@fs.fed.us; Helayna.Pera@wildlife.ca.gov; Picco, Angela; kpilgrim@fs.fed.us; rpowell@ncsu.edu; kpurcell@fs.fed.us; mreno@spi-ind.com; arich@fs.fed.us; kroberts@spi-ind.com; benjamin.rowe@fire.ca.gov; heather@consbio.org; rsadak@fs.fed.us; jnsanchez@ucdavis.edu; scsawyer@fs.fed.us; rschell@ncsu.edu; rschlexer@fs.fed.us; gschroer@fs.fed.us; Seymour, Jill-Marie; tim.shaw@fruitgrowers.com; ashufelberger@spi-ind.com; keithmslauson@fs.fed.us; susan.sniado@wildlife.ca.gov; ben@sierraforestlegacy.org; ksorini@fs.fed.us; wdspencer@consbio.org; Stephens, Jeffrey; chris.stermer@wildlife.ca.gov; Stock, Sarah L; kswaim@swaimbio.com; craig@sierraforestlegacy.org; cthompson@fs.fed.us; jthompson@west-inc.com; Andria.Townsend@humboldt.edu; jtucker@fs.fed.us; ctwight@spi-ind.com; Vogel, Ian M; Weatherbee, Russell A; Rich.Weir@gov.bc.ca; gwengert@iercecology.org; syasuda@fs.fed.us; cmyasuda@ucdavis.edu; syoung@swaimbio.com; bzielinski@fs.fed.us</t>
  </si>
  <si>
    <t>Exemption 5 and Exemption 6</t>
  </si>
  <si>
    <t>Exemption 5 and Exemptin 6</t>
  </si>
  <si>
    <t>Name of Native File</t>
  </si>
  <si>
    <t>Redacted;</t>
  </si>
  <si>
    <t>Robert Naney</t>
  </si>
  <si>
    <t>Aaron Facka greendav@oregonstate.edu David S. Green Deana.Clifford@wildlife.ca.gov Deana Clifford kpsmith3@ncsu.edu Kevin Smith laura_finley@fws.gov Laura Finley Richard.Callas@wildlife.ca.gov Richard Callas Sean.Matthews@oregonstate.edu Matthews, Sean TEngstrom@spi-ind.com Tom Engstrom</t>
  </si>
  <si>
    <t>Kevin Smith</t>
  </si>
  <si>
    <t>Richard Callas Deana.Clifford@wildlife.ca.gov 'Deana Clifford' EMurphy@spi-ind.com 'Ed Murphy' 'J Scott Yaeger' laura_finley@fws.gov kpsmith3@ncsu.edu 'Kevin Smith' Pete.Figura@wildlife.ca.gov 'Pete@Wildlife''Figura' TEngstrom@spi-ind.com 'Tom Engstrom' Sean.Matthews@oregonstate.edu 'Sean Michael''Matthews' rpowell@ncsu.edu 'RogerPowell' Aaron Facka</t>
  </si>
  <si>
    <t>Kevin Smith Pete.Figura@wildlife.ca.gov Pete Figura emurphy@spi-ind.com tengstrom@spi-ind.com Tom Engstrom laura_finley@fws.gov Laura Finley</t>
  </si>
  <si>
    <t>Aaron Facka</t>
  </si>
  <si>
    <t>Matthews, Sean Michael; RogerPowell; Clifford, Deana@Wildlife; 'Aaron Facka; 'Kevin Smith'; mreno@spi-ind.com</t>
  </si>
  <si>
    <t>brent barry</t>
  </si>
  <si>
    <t>newf@ncsu.edu laura_finley@fws.gov Pete.Figura@wildlife.ca.gov 'Figura, Pete@Wildlife' 'Kevin Smith' Sean.Matthews@oregonstate.edu 'Matthews, Sean Michael' david.green@oregonstate.edu 'Green, David S' Deana.Clifford@wildlife.ca.gov 'Deana Clifford' EMurphy@spi-ind.com 'Ed Murphy' 'Richard Callas'  'J Scott Yaeger'</t>
  </si>
  <si>
    <t>Aaron Facka Deana.Clifford@wildlife.ca.gov 'Deana Clifford' EMurphy@spi-ind.com 'Ed Murphy' 'J Scott Yaeger' 'Richard Callas' laura_finley@fws.gov kpsmith3@ncsu.edu 'Kevin Smith' Pete.Figura@wildlife.ca.gov  Pete@Wildlife''Figura TEngstrom@spi-ind.com 'Tom Engstrom' Sean.Matthews@oregonstate.edu Sean Michael''Matthews rpowell@ncsu.edu RogerPowell</t>
  </si>
  <si>
    <t>Richard Callas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</si>
</sst>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11">
    <xf numFmtId="0" fontId="0" fillId="0" borderId="0" xfId="0"/>
    <xf numFmtId="0" fontId="0" fillId="0" borderId="11" xfId="0" applyBorder="1" applyAlignment="1">
      <alignment wrapText="1"/>
    </xf>
    <xf numFmtId="0" fontId="0" fillId="0" borderId="12" xfId="0" applyBorder="1" applyAlignment="1">
      <alignment wrapText="1"/>
    </xf>
    <xf numFmtId="0" fontId="0" fillId="0" borderId="10" xfId="0" applyBorder="1" applyAlignment="1">
      <alignment wrapText="1"/>
    </xf>
    <xf numFmtId="22" fontId="0" fillId="0" borderId="10" xfId="0" applyNumberFormat="1" applyBorder="1" applyAlignment="1">
      <alignment wrapText="1"/>
    </xf>
    <xf numFmtId="0" fontId="0" fillId="0" borderId="13" xfId="0" applyBorder="1" applyAlignment="1">
      <alignment wrapText="1"/>
    </xf>
    <xf numFmtId="0" fontId="0" fillId="0" borderId="14" xfId="0" applyBorder="1" applyAlignment="1">
      <alignment wrapText="1"/>
    </xf>
    <xf numFmtId="22" fontId="0" fillId="0" borderId="14" xfId="0" applyNumberFormat="1" applyBorder="1" applyAlignment="1">
      <alignment wrapText="1"/>
    </xf>
    <xf numFmtId="0" fontId="0" fillId="0" borderId="15" xfId="0" applyBorder="1" applyAlignment="1">
      <alignment wrapText="1"/>
    </xf>
    <xf numFmtId="0" fontId="18" fillId="0" borderId="10" xfId="42" applyBorder="1" applyAlignment="1">
      <alignment wrapText="1"/>
    </xf>
    <xf numFmtId="0" fontId="18" fillId="0" borderId="14" xfId="42"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7">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7" formatCode="m/d/yyyy\ h:mm"/>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4406" totalsRowShown="0" headerRowDxfId="16" dataDxfId="14" headerRowBorderDxfId="15" tableBorderDxfId="13" totalsRowBorderDxfId="12">
  <autoFilter ref="A1:L4406" xr:uid="{00000000-0009-0000-0100-000001000000}"/>
  <tableColumns count="12">
    <tableColumn id="2" xr3:uid="{00000000-0010-0000-0000-000002000000}" name="Document Number (and hyperlink)" dataDxfId="11" dataCellStyle="Hyperlink"/>
    <tableColumn id="4" xr3:uid="{00000000-0010-0000-0000-000004000000}" name="Parent Document Number" dataDxfId="10"/>
    <tableColumn id="7" xr3:uid="{00000000-0010-0000-0000-000007000000}" name="Parent (P) or Attachment (A)" dataDxfId="9"/>
    <tableColumn id="8" xr3:uid="{00000000-0010-0000-0000-000008000000}" name="Document Type" dataDxfId="8"/>
    <tableColumn id="11" xr3:uid="{00000000-0010-0000-0000-00000B000000}" name="Document Description" dataDxfId="7"/>
    <tableColumn id="6" xr3:uid="{00000000-0010-0000-0000-000006000000}" name="Sent Date Family" dataDxfId="6"/>
    <tableColumn id="9" xr3:uid="{00000000-0010-0000-0000-000009000000}" name="From" dataDxfId="5"/>
    <tableColumn id="10" xr3:uid="{00000000-0010-0000-0000-00000A000000}" name="To" dataDxfId="4"/>
    <tableColumn id="13" xr3:uid="{00000000-0010-0000-0000-00000D000000}" name="Privilege Category" dataDxfId="3"/>
    <tableColumn id="14" xr3:uid="{00000000-0010-0000-0000-00000E000000}" name="FOIA Exemption" dataDxfId="2"/>
    <tableColumn id="19" xr3:uid="{00000000-0010-0000-0000-000013000000}" name="Redacted" dataDxfId="1"/>
    <tableColumn id="20" xr3:uid="{00000000-0010-0000-0000-000014000000}" name="Name of Native Fi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06"/>
  <sheetViews>
    <sheetView tabSelected="1" workbookViewId="0">
      <pane ySplit="1" topLeftCell="A4069" activePane="bottomLeft" state="frozen"/>
      <selection pane="bottomLeft" activeCell="A4258" sqref="A4258"/>
    </sheetView>
  </sheetViews>
  <sheetFormatPr defaultRowHeight="14.4" x14ac:dyDescent="0.55000000000000004"/>
  <cols>
    <col min="1" max="1" width="31.734375" customWidth="1"/>
    <col min="2" max="2" width="26.47265625" customWidth="1"/>
    <col min="3" max="3" width="14.41796875" customWidth="1"/>
    <col min="4" max="4" width="22.7890625" customWidth="1"/>
    <col min="5" max="5" width="41.7890625" customWidth="1"/>
    <col min="6" max="6" width="18" customWidth="1"/>
    <col min="7" max="7" width="41.1015625" customWidth="1"/>
    <col min="8" max="8" width="36.15625" bestFit="1" customWidth="1"/>
    <col min="9" max="9" width="24.5234375" customWidth="1"/>
    <col min="10" max="10" width="47.15625" customWidth="1"/>
    <col min="11" max="11" width="24.68359375" customWidth="1"/>
    <col min="12" max="12" width="48.41796875" customWidth="1"/>
    <col min="14" max="14" width="44" customWidth="1"/>
    <col min="15" max="15" width="39.83984375" bestFit="1" customWidth="1"/>
    <col min="16" max="16" width="21.68359375" customWidth="1"/>
  </cols>
  <sheetData>
    <row r="1" spans="1:12" ht="28.8" x14ac:dyDescent="0.55000000000000004">
      <c r="A1" s="1" t="s">
        <v>7038</v>
      </c>
      <c r="B1" s="1" t="s">
        <v>7037</v>
      </c>
      <c r="C1" s="1" t="s">
        <v>7039</v>
      </c>
      <c r="D1" s="1" t="s">
        <v>7040</v>
      </c>
      <c r="E1" s="1" t="s">
        <v>1</v>
      </c>
      <c r="F1" s="1" t="s">
        <v>0</v>
      </c>
      <c r="G1" s="1" t="s">
        <v>7034</v>
      </c>
      <c r="H1" s="1" t="s">
        <v>7035</v>
      </c>
      <c r="I1" s="1" t="s">
        <v>7041</v>
      </c>
      <c r="J1" s="1" t="s">
        <v>7045</v>
      </c>
      <c r="K1" s="1" t="s">
        <v>7036</v>
      </c>
      <c r="L1" s="2" t="s">
        <v>7057</v>
      </c>
    </row>
    <row r="2" spans="1:12" ht="28.8" x14ac:dyDescent="0.55000000000000004">
      <c r="A2" s="9" t="str">
        <f>HYPERLINK("PDF\FOIA-FWS-2020-00724-0000001.pdf","FOIA-FWS-2020-00724-0000001")</f>
        <v>FOIA-FWS-2020-00724-0000001</v>
      </c>
      <c r="B2" s="3" t="s">
        <v>2</v>
      </c>
      <c r="C2" s="3" t="s">
        <v>3</v>
      </c>
      <c r="D2" s="3" t="s">
        <v>4</v>
      </c>
      <c r="E2" s="3" t="s">
        <v>5</v>
      </c>
      <c r="F2" s="4">
        <v>13516</v>
      </c>
      <c r="G2" s="3"/>
      <c r="H2" s="3"/>
      <c r="I2" s="3" t="s">
        <v>7043</v>
      </c>
      <c r="J2" s="3"/>
      <c r="K2" s="3"/>
      <c r="L2" s="5"/>
    </row>
    <row r="3" spans="1:12" ht="28.8" x14ac:dyDescent="0.55000000000000004">
      <c r="A3" s="9" t="str">
        <f>HYPERLINK("PDF\FOIA-FWS-2020-00724-0000002.pdf","FOIA-FWS-2020-00724-0000002")</f>
        <v>FOIA-FWS-2020-00724-0000002</v>
      </c>
      <c r="B3" s="3" t="s">
        <v>6</v>
      </c>
      <c r="C3" s="3" t="s">
        <v>3</v>
      </c>
      <c r="D3" s="3" t="s">
        <v>4</v>
      </c>
      <c r="E3" s="3" t="s">
        <v>7</v>
      </c>
      <c r="F3" s="4">
        <v>30286</v>
      </c>
      <c r="G3" s="3"/>
      <c r="H3" s="3"/>
      <c r="I3" s="3" t="s">
        <v>7043</v>
      </c>
      <c r="J3" s="3"/>
      <c r="K3" s="3"/>
      <c r="L3" s="5"/>
    </row>
    <row r="4" spans="1:12" ht="28.8" x14ac:dyDescent="0.55000000000000004">
      <c r="A4" s="9" t="str">
        <f>HYPERLINK("PDF\FOIA-FWS-2020-00724-0000003.pdf","FOIA-FWS-2020-00724-0000003")</f>
        <v>FOIA-FWS-2020-00724-0000003</v>
      </c>
      <c r="B4" s="3" t="s">
        <v>8</v>
      </c>
      <c r="C4" s="3" t="s">
        <v>3</v>
      </c>
      <c r="D4" s="3" t="s">
        <v>4</v>
      </c>
      <c r="E4" s="3" t="s">
        <v>9</v>
      </c>
      <c r="F4" s="4">
        <v>30614</v>
      </c>
      <c r="G4" s="3"/>
      <c r="H4" s="3"/>
      <c r="I4" s="3" t="s">
        <v>7043</v>
      </c>
      <c r="J4" s="3"/>
      <c r="K4" s="3"/>
      <c r="L4" s="5"/>
    </row>
    <row r="5" spans="1:12" ht="28.8" x14ac:dyDescent="0.55000000000000004">
      <c r="A5" s="9" t="str">
        <f>HYPERLINK("PDF\FOIA-FWS-2020-00724-0000004.pdf","FOIA-FWS-2020-00724-0000004")</f>
        <v>FOIA-FWS-2020-00724-0000004</v>
      </c>
      <c r="B5" s="3" t="s">
        <v>10</v>
      </c>
      <c r="C5" s="3" t="s">
        <v>3</v>
      </c>
      <c r="D5" s="3" t="s">
        <v>4</v>
      </c>
      <c r="E5" s="3" t="s">
        <v>11</v>
      </c>
      <c r="F5" s="4">
        <v>33970</v>
      </c>
      <c r="G5" s="3"/>
      <c r="H5" s="3"/>
      <c r="I5" s="3" t="s">
        <v>7043</v>
      </c>
      <c r="J5" s="3"/>
      <c r="K5" s="3"/>
      <c r="L5" s="5"/>
    </row>
    <row r="6" spans="1:12" ht="43.2" x14ac:dyDescent="0.55000000000000004">
      <c r="A6" s="9" t="str">
        <f>HYPERLINK("PDF\FOIA-FWS-2020-00724-0000005.pdf","FOIA-FWS-2020-00724-0000005")</f>
        <v>FOIA-FWS-2020-00724-0000005</v>
      </c>
      <c r="B6" s="3" t="s">
        <v>12</v>
      </c>
      <c r="C6" s="3" t="s">
        <v>3</v>
      </c>
      <c r="D6" s="3" t="s">
        <v>4</v>
      </c>
      <c r="E6" s="3" t="s">
        <v>13</v>
      </c>
      <c r="F6" s="4">
        <v>34335</v>
      </c>
      <c r="G6" s="3"/>
      <c r="H6" s="3"/>
      <c r="I6" s="3" t="s">
        <v>7043</v>
      </c>
      <c r="J6" s="3"/>
      <c r="K6" s="3"/>
      <c r="L6" s="5"/>
    </row>
    <row r="7" spans="1:12" ht="28.8" x14ac:dyDescent="0.55000000000000004">
      <c r="A7" s="9" t="str">
        <f>HYPERLINK("PDF\FOIA-FWS-2020-00724-0000006.pdf","FOIA-FWS-2020-00724-0000006")</f>
        <v>FOIA-FWS-2020-00724-0000006</v>
      </c>
      <c r="B7" s="3" t="s">
        <v>14</v>
      </c>
      <c r="C7" s="3" t="s">
        <v>3</v>
      </c>
      <c r="D7" s="3" t="s">
        <v>4</v>
      </c>
      <c r="E7" s="3" t="s">
        <v>15</v>
      </c>
      <c r="F7" s="4">
        <v>34437</v>
      </c>
      <c r="G7" s="3"/>
      <c r="H7" s="3"/>
      <c r="I7" s="3" t="s">
        <v>7043</v>
      </c>
      <c r="J7" s="3"/>
      <c r="K7" s="3"/>
      <c r="L7" s="5"/>
    </row>
    <row r="8" spans="1:12" ht="28.8" x14ac:dyDescent="0.55000000000000004">
      <c r="A8" s="9" t="str">
        <f>HYPERLINK("PDF\FOIA-FWS-2020-00724-0000007.pdf","FOIA-FWS-2020-00724-0000007")</f>
        <v>FOIA-FWS-2020-00724-0000007</v>
      </c>
      <c r="B8" s="3" t="s">
        <v>16</v>
      </c>
      <c r="C8" s="3" t="s">
        <v>3</v>
      </c>
      <c r="D8" s="3" t="s">
        <v>4</v>
      </c>
      <c r="E8" s="3" t="s">
        <v>17</v>
      </c>
      <c r="F8" s="4">
        <v>34453</v>
      </c>
      <c r="G8" s="3"/>
      <c r="H8" s="3"/>
      <c r="I8" s="3" t="s">
        <v>7043</v>
      </c>
      <c r="J8" s="3"/>
      <c r="K8" s="3"/>
      <c r="L8" s="5"/>
    </row>
    <row r="9" spans="1:12" ht="28.8" x14ac:dyDescent="0.55000000000000004">
      <c r="A9" s="9" t="str">
        <f>HYPERLINK("PDF\FOIA-FWS-2020-00724-0000008.pdf","FOIA-FWS-2020-00724-0000008")</f>
        <v>FOIA-FWS-2020-00724-0000008</v>
      </c>
      <c r="B9" s="3" t="s">
        <v>18</v>
      </c>
      <c r="C9" s="3" t="s">
        <v>3</v>
      </c>
      <c r="D9" s="3" t="s">
        <v>4</v>
      </c>
      <c r="E9" s="3" t="s">
        <v>19</v>
      </c>
      <c r="F9" s="4">
        <v>34516</v>
      </c>
      <c r="G9" s="3"/>
      <c r="H9" s="3"/>
      <c r="I9" s="3" t="s">
        <v>7043</v>
      </c>
      <c r="J9" s="3"/>
      <c r="K9" s="3"/>
      <c r="L9" s="5"/>
    </row>
    <row r="10" spans="1:12" ht="28.8" x14ac:dyDescent="0.55000000000000004">
      <c r="A10" s="9" t="str">
        <f>HYPERLINK("PDF\FOIA-FWS-2020-00724-0000009.pdf","FOIA-FWS-2020-00724-0000009")</f>
        <v>FOIA-FWS-2020-00724-0000009</v>
      </c>
      <c r="B10" s="3" t="s">
        <v>20</v>
      </c>
      <c r="C10" s="3" t="s">
        <v>3</v>
      </c>
      <c r="D10" s="3" t="s">
        <v>4</v>
      </c>
      <c r="E10" s="3" t="s">
        <v>21</v>
      </c>
      <c r="F10" s="4">
        <v>34516</v>
      </c>
      <c r="G10" s="3"/>
      <c r="H10" s="3"/>
      <c r="I10" s="3" t="s">
        <v>7043</v>
      </c>
      <c r="J10" s="3"/>
      <c r="K10" s="3"/>
      <c r="L10" s="5"/>
    </row>
    <row r="11" spans="1:12" ht="28.8" x14ac:dyDescent="0.55000000000000004">
      <c r="A11" s="9" t="str">
        <f>HYPERLINK("PDF\FOIA-FWS-2020-00724-0000010.pdf","FOIA-FWS-2020-00724-0000010")</f>
        <v>FOIA-FWS-2020-00724-0000010</v>
      </c>
      <c r="B11" s="3" t="s">
        <v>22</v>
      </c>
      <c r="C11" s="3" t="s">
        <v>3</v>
      </c>
      <c r="D11" s="3" t="s">
        <v>4</v>
      </c>
      <c r="E11" s="3" t="s">
        <v>23</v>
      </c>
      <c r="F11" s="4">
        <v>34516</v>
      </c>
      <c r="G11" s="3"/>
      <c r="H11" s="3"/>
      <c r="I11" s="3" t="s">
        <v>7043</v>
      </c>
      <c r="J11" s="3"/>
      <c r="K11" s="3"/>
      <c r="L11" s="5"/>
    </row>
    <row r="12" spans="1:12" ht="28.8" x14ac:dyDescent="0.55000000000000004">
      <c r="A12" s="9" t="str">
        <f>HYPERLINK("PDF\FOIA-FWS-2020-00724-0000011.pdf","FOIA-FWS-2020-00724-0000011")</f>
        <v>FOIA-FWS-2020-00724-0000011</v>
      </c>
      <c r="B12" s="3" t="s">
        <v>24</v>
      </c>
      <c r="C12" s="3" t="s">
        <v>3</v>
      </c>
      <c r="D12" s="3" t="s">
        <v>4</v>
      </c>
      <c r="E12" s="3" t="s">
        <v>25</v>
      </c>
      <c r="F12" s="4">
        <v>34578</v>
      </c>
      <c r="G12" s="3"/>
      <c r="H12" s="3"/>
      <c r="I12" s="3" t="s">
        <v>7043</v>
      </c>
      <c r="J12" s="3"/>
      <c r="K12" s="3"/>
      <c r="L12" s="5"/>
    </row>
    <row r="13" spans="1:12" ht="28.8" x14ac:dyDescent="0.55000000000000004">
      <c r="A13" s="9" t="str">
        <f>HYPERLINK("PDF\FOIA-FWS-2020-00724-0000012.pdf","FOIA-FWS-2020-00724-0000012")</f>
        <v>FOIA-FWS-2020-00724-0000012</v>
      </c>
      <c r="B13" s="3" t="s">
        <v>26</v>
      </c>
      <c r="C13" s="3" t="s">
        <v>3</v>
      </c>
      <c r="D13" s="3" t="s">
        <v>4</v>
      </c>
      <c r="E13" s="3" t="s">
        <v>27</v>
      </c>
      <c r="F13" s="4">
        <v>34700</v>
      </c>
      <c r="G13" s="3"/>
      <c r="H13" s="3"/>
      <c r="I13" s="3" t="s">
        <v>7043</v>
      </c>
      <c r="J13" s="3"/>
      <c r="K13" s="3"/>
      <c r="L13" s="5"/>
    </row>
    <row r="14" spans="1:12" ht="43.2" x14ac:dyDescent="0.55000000000000004">
      <c r="A14" s="9" t="str">
        <f>HYPERLINK("PDF\FOIA-FWS-2020-00724-0000013.pdf","FOIA-FWS-2020-00724-0000013")</f>
        <v>FOIA-FWS-2020-00724-0000013</v>
      </c>
      <c r="B14" s="3" t="s">
        <v>28</v>
      </c>
      <c r="C14" s="3" t="s">
        <v>3</v>
      </c>
      <c r="D14" s="3" t="s">
        <v>4</v>
      </c>
      <c r="E14" s="3" t="s">
        <v>29</v>
      </c>
      <c r="F14" s="4">
        <v>35102</v>
      </c>
      <c r="G14" s="3"/>
      <c r="H14" s="3"/>
      <c r="I14" s="3" t="s">
        <v>7043</v>
      </c>
      <c r="J14" s="3"/>
      <c r="K14" s="3"/>
      <c r="L14" s="5"/>
    </row>
    <row r="15" spans="1:12" ht="28.8" x14ac:dyDescent="0.55000000000000004">
      <c r="A15" s="9" t="str">
        <f>HYPERLINK("PDF\FOIA-FWS-2020-00724-0000014.pdf","FOIA-FWS-2020-00724-0000014")</f>
        <v>FOIA-FWS-2020-00724-0000014</v>
      </c>
      <c r="B15" s="3" t="s">
        <v>30</v>
      </c>
      <c r="C15" s="3" t="s">
        <v>3</v>
      </c>
      <c r="D15" s="3" t="s">
        <v>4</v>
      </c>
      <c r="E15" s="3" t="s">
        <v>31</v>
      </c>
      <c r="F15" s="4">
        <v>35370</v>
      </c>
      <c r="G15" s="3"/>
      <c r="H15" s="3"/>
      <c r="I15" s="3" t="s">
        <v>7043</v>
      </c>
      <c r="J15" s="3"/>
      <c r="K15" s="3"/>
      <c r="L15" s="5"/>
    </row>
    <row r="16" spans="1:12" ht="28.8" x14ac:dyDescent="0.55000000000000004">
      <c r="A16" s="9" t="str">
        <f>HYPERLINK("PDF\FOIA-FWS-2020-00724-0000015.pdf","FOIA-FWS-2020-00724-0000015")</f>
        <v>FOIA-FWS-2020-00724-0000015</v>
      </c>
      <c r="B16" s="3" t="s">
        <v>32</v>
      </c>
      <c r="C16" s="3" t="s">
        <v>3</v>
      </c>
      <c r="D16" s="3" t="s">
        <v>33</v>
      </c>
      <c r="E16" s="3" t="s">
        <v>34</v>
      </c>
      <c r="F16" s="4">
        <v>35816</v>
      </c>
      <c r="G16" s="3"/>
      <c r="H16" s="3"/>
      <c r="I16" s="3" t="s">
        <v>7043</v>
      </c>
      <c r="J16" s="3"/>
      <c r="K16" s="3"/>
      <c r="L16" s="5"/>
    </row>
    <row r="17" spans="1:12" ht="28.8" x14ac:dyDescent="0.55000000000000004">
      <c r="A17" s="9" t="str">
        <f>HYPERLINK("PDF\FOIA-FWS-2020-00724-0000016.pdf","FOIA-FWS-2020-00724-0000016")</f>
        <v>FOIA-FWS-2020-00724-0000016</v>
      </c>
      <c r="B17" s="3" t="s">
        <v>35</v>
      </c>
      <c r="C17" s="3" t="s">
        <v>3</v>
      </c>
      <c r="D17" s="3" t="s">
        <v>4</v>
      </c>
      <c r="E17" s="3" t="s">
        <v>36</v>
      </c>
      <c r="F17" s="4">
        <v>35941</v>
      </c>
      <c r="G17" s="3"/>
      <c r="H17" s="3"/>
      <c r="I17" s="3" t="s">
        <v>7043</v>
      </c>
      <c r="J17" s="3"/>
      <c r="K17" s="3"/>
      <c r="L17" s="5"/>
    </row>
    <row r="18" spans="1:12" ht="28.8" x14ac:dyDescent="0.55000000000000004">
      <c r="A18" s="9" t="str">
        <f>HYPERLINK("PDF\FOIA-FWS-2020-00724-0000017.pdf","FOIA-FWS-2020-00724-0000017")</f>
        <v>FOIA-FWS-2020-00724-0000017</v>
      </c>
      <c r="B18" s="3" t="s">
        <v>37</v>
      </c>
      <c r="C18" s="3" t="s">
        <v>3</v>
      </c>
      <c r="D18" s="3" t="s">
        <v>38</v>
      </c>
      <c r="E18" s="3" t="s">
        <v>39</v>
      </c>
      <c r="F18" s="4">
        <v>36161</v>
      </c>
      <c r="G18" s="3"/>
      <c r="H18" s="3"/>
      <c r="I18" s="3" t="s">
        <v>7043</v>
      </c>
      <c r="J18" s="3"/>
      <c r="K18" s="3"/>
      <c r="L18" s="5"/>
    </row>
    <row r="19" spans="1:12" ht="28.8" x14ac:dyDescent="0.55000000000000004">
      <c r="A19" s="9" t="str">
        <f>HYPERLINK("PDF\FOIA-FWS-2020-00724-0000018.pdf","FOIA-FWS-2020-00724-0000018")</f>
        <v>FOIA-FWS-2020-00724-0000018</v>
      </c>
      <c r="B19" s="3" t="s">
        <v>40</v>
      </c>
      <c r="C19" s="3" t="s">
        <v>3</v>
      </c>
      <c r="D19" s="3" t="s">
        <v>4</v>
      </c>
      <c r="E19" s="3" t="s">
        <v>41</v>
      </c>
      <c r="F19" s="4">
        <v>36192</v>
      </c>
      <c r="G19" s="3"/>
      <c r="H19" s="3"/>
      <c r="I19" s="3" t="s">
        <v>7043</v>
      </c>
      <c r="J19" s="3"/>
      <c r="K19" s="3"/>
      <c r="L19" s="5"/>
    </row>
    <row r="20" spans="1:12" ht="28.8" x14ac:dyDescent="0.55000000000000004">
      <c r="A20" s="9" t="str">
        <f>HYPERLINK("PDF\FOIA-FWS-2020-00724-0000019.pdf","FOIA-FWS-2020-00724-0000019")</f>
        <v>FOIA-FWS-2020-00724-0000019</v>
      </c>
      <c r="B20" s="3" t="s">
        <v>42</v>
      </c>
      <c r="C20" s="3" t="s">
        <v>3</v>
      </c>
      <c r="D20" s="3" t="s">
        <v>4</v>
      </c>
      <c r="E20" s="3" t="s">
        <v>43</v>
      </c>
      <c r="F20" s="4">
        <v>36192</v>
      </c>
      <c r="G20" s="3"/>
      <c r="H20" s="3"/>
      <c r="I20" s="3" t="s">
        <v>7043</v>
      </c>
      <c r="J20" s="3"/>
      <c r="K20" s="3"/>
      <c r="L20" s="5"/>
    </row>
    <row r="21" spans="1:12" ht="28.8" x14ac:dyDescent="0.55000000000000004">
      <c r="A21" s="9" t="str">
        <f>HYPERLINK("PDF\FOIA-FWS-2020-00724-0000020.pdf","FOIA-FWS-2020-00724-0000020")</f>
        <v>FOIA-FWS-2020-00724-0000020</v>
      </c>
      <c r="B21" s="3" t="s">
        <v>44</v>
      </c>
      <c r="C21" s="3" t="s">
        <v>3</v>
      </c>
      <c r="D21" s="3" t="s">
        <v>4</v>
      </c>
      <c r="E21" s="3" t="s">
        <v>45</v>
      </c>
      <c r="F21" s="4">
        <v>36281</v>
      </c>
      <c r="G21" s="3"/>
      <c r="H21" s="3"/>
      <c r="I21" s="3" t="s">
        <v>7043</v>
      </c>
      <c r="J21" s="3"/>
      <c r="K21" s="3"/>
      <c r="L21" s="5"/>
    </row>
    <row r="22" spans="1:12" ht="28.8" x14ac:dyDescent="0.55000000000000004">
      <c r="A22" s="9" t="str">
        <f>HYPERLINK("PDF\FOIA-FWS-2020-00724-0000021.pdf","FOIA-FWS-2020-00724-0000021")</f>
        <v>FOIA-FWS-2020-00724-0000021</v>
      </c>
      <c r="B22" s="3" t="s">
        <v>46</v>
      </c>
      <c r="C22" s="3" t="s">
        <v>3</v>
      </c>
      <c r="D22" s="3" t="s">
        <v>4</v>
      </c>
      <c r="E22" s="3" t="s">
        <v>47</v>
      </c>
      <c r="F22" s="4">
        <v>36526</v>
      </c>
      <c r="G22" s="3"/>
      <c r="H22" s="3"/>
      <c r="I22" s="3" t="s">
        <v>7043</v>
      </c>
      <c r="J22" s="3"/>
      <c r="K22" s="3"/>
      <c r="L22" s="5"/>
    </row>
    <row r="23" spans="1:12" ht="28.8" x14ac:dyDescent="0.55000000000000004">
      <c r="A23" s="9" t="str">
        <f>HYPERLINK("PDF\FOIA-FWS-2020-00724-0000022.pdf","FOIA-FWS-2020-00724-0000022")</f>
        <v>FOIA-FWS-2020-00724-0000022</v>
      </c>
      <c r="B23" s="3" t="s">
        <v>48</v>
      </c>
      <c r="C23" s="3" t="s">
        <v>3</v>
      </c>
      <c r="D23" s="3" t="s">
        <v>4</v>
      </c>
      <c r="E23" s="3" t="s">
        <v>49</v>
      </c>
      <c r="F23" s="4">
        <v>36526</v>
      </c>
      <c r="G23" s="3"/>
      <c r="H23" s="3"/>
      <c r="I23" s="3" t="s">
        <v>7043</v>
      </c>
      <c r="J23" s="3"/>
      <c r="K23" s="3"/>
      <c r="L23" s="5"/>
    </row>
    <row r="24" spans="1:12" ht="28.8" x14ac:dyDescent="0.55000000000000004">
      <c r="A24" s="9" t="str">
        <f>HYPERLINK("PDF\FOIA-FWS-2020-00724-0000023.pdf","FOIA-FWS-2020-00724-0000023")</f>
        <v>FOIA-FWS-2020-00724-0000023</v>
      </c>
      <c r="B24" s="3" t="s">
        <v>50</v>
      </c>
      <c r="C24" s="3" t="s">
        <v>3</v>
      </c>
      <c r="D24" s="3" t="s">
        <v>51</v>
      </c>
      <c r="E24" s="3" t="s">
        <v>52</v>
      </c>
      <c r="F24" s="4">
        <v>36895</v>
      </c>
      <c r="G24" s="3"/>
      <c r="H24" s="3"/>
      <c r="I24" s="3" t="s">
        <v>7043</v>
      </c>
      <c r="J24" s="3"/>
      <c r="K24" s="3"/>
      <c r="L24" s="5"/>
    </row>
    <row r="25" spans="1:12" ht="28.8" x14ac:dyDescent="0.55000000000000004">
      <c r="A25" s="9" t="str">
        <f>HYPERLINK("PDF\FOIA-FWS-2020-00724-0000024.pdf","FOIA-FWS-2020-00724-0000024")</f>
        <v>FOIA-FWS-2020-00724-0000024</v>
      </c>
      <c r="B25" s="3" t="s">
        <v>53</v>
      </c>
      <c r="C25" s="3" t="s">
        <v>3</v>
      </c>
      <c r="D25" s="3" t="s">
        <v>4</v>
      </c>
      <c r="E25" s="3" t="s">
        <v>54</v>
      </c>
      <c r="F25" s="4">
        <v>37257</v>
      </c>
      <c r="G25" s="3"/>
      <c r="H25" s="3"/>
      <c r="I25" s="3" t="s">
        <v>7043</v>
      </c>
      <c r="J25" s="3"/>
      <c r="K25" s="3"/>
      <c r="L25" s="5"/>
    </row>
    <row r="26" spans="1:12" ht="28.8" x14ac:dyDescent="0.55000000000000004">
      <c r="A26" s="9" t="str">
        <f>HYPERLINK("PDF\FOIA-FWS-2020-00724-0000025.pdf","FOIA-FWS-2020-00724-0000025")</f>
        <v>FOIA-FWS-2020-00724-0000025</v>
      </c>
      <c r="B26" s="3" t="s">
        <v>55</v>
      </c>
      <c r="C26" s="3" t="s">
        <v>3</v>
      </c>
      <c r="D26" s="3" t="s">
        <v>4</v>
      </c>
      <c r="E26" s="3" t="s">
        <v>56</v>
      </c>
      <c r="F26" s="4">
        <v>37408</v>
      </c>
      <c r="G26" s="3"/>
      <c r="H26" s="3"/>
      <c r="I26" s="3" t="s">
        <v>7043</v>
      </c>
      <c r="J26" s="3"/>
      <c r="K26" s="3"/>
      <c r="L26" s="5"/>
    </row>
    <row r="27" spans="1:12" ht="28.8" x14ac:dyDescent="0.55000000000000004">
      <c r="A27" s="9" t="str">
        <f>HYPERLINK("PDF\FOIA-FWS-2020-00724-0000026.pdf","FOIA-FWS-2020-00724-0000026")</f>
        <v>FOIA-FWS-2020-00724-0000026</v>
      </c>
      <c r="B27" s="3" t="s">
        <v>57</v>
      </c>
      <c r="C27" s="3" t="s">
        <v>3</v>
      </c>
      <c r="D27" s="3" t="s">
        <v>4</v>
      </c>
      <c r="E27" s="3" t="s">
        <v>58</v>
      </c>
      <c r="F27" s="4">
        <v>37622</v>
      </c>
      <c r="G27" s="3"/>
      <c r="H27" s="3"/>
      <c r="I27" s="3" t="s">
        <v>7043</v>
      </c>
      <c r="J27" s="3"/>
      <c r="K27" s="3"/>
      <c r="L27" s="5"/>
    </row>
    <row r="28" spans="1:12" ht="28.8" x14ac:dyDescent="0.55000000000000004">
      <c r="A28" s="9" t="str">
        <f>HYPERLINK("PDF\FOIA-FWS-2020-00724-0000027.pdf","FOIA-FWS-2020-00724-0000027")</f>
        <v>FOIA-FWS-2020-00724-0000027</v>
      </c>
      <c r="B28" s="3" t="s">
        <v>59</v>
      </c>
      <c r="C28" s="3" t="s">
        <v>3</v>
      </c>
      <c r="D28" s="3" t="s">
        <v>4</v>
      </c>
      <c r="E28" s="3" t="s">
        <v>60</v>
      </c>
      <c r="F28" s="4">
        <v>37622</v>
      </c>
      <c r="G28" s="3"/>
      <c r="H28" s="3"/>
      <c r="I28" s="3" t="s">
        <v>7043</v>
      </c>
      <c r="J28" s="3"/>
      <c r="K28" s="3"/>
      <c r="L28" s="5"/>
    </row>
    <row r="29" spans="1:12" ht="28.8" x14ac:dyDescent="0.55000000000000004">
      <c r="A29" s="9" t="str">
        <f>HYPERLINK("PDF\FOIA-FWS-2020-00724-0000028.pdf","FOIA-FWS-2020-00724-0000028")</f>
        <v>FOIA-FWS-2020-00724-0000028</v>
      </c>
      <c r="B29" s="3" t="s">
        <v>61</v>
      </c>
      <c r="C29" s="3" t="s">
        <v>3</v>
      </c>
      <c r="D29" s="3" t="s">
        <v>4</v>
      </c>
      <c r="E29" s="3" t="s">
        <v>62</v>
      </c>
      <c r="F29" s="4">
        <v>37698</v>
      </c>
      <c r="G29" s="3"/>
      <c r="H29" s="3"/>
      <c r="I29" s="3" t="s">
        <v>7043</v>
      </c>
      <c r="J29" s="3"/>
      <c r="K29" s="3"/>
      <c r="L29" s="5"/>
    </row>
    <row r="30" spans="1:12" ht="28.8" x14ac:dyDescent="0.55000000000000004">
      <c r="A30" s="9" t="str">
        <f>HYPERLINK("PDF\FOIA-FWS-2020-00724-0000029.pdf","FOIA-FWS-2020-00724-0000029")</f>
        <v>FOIA-FWS-2020-00724-0000029</v>
      </c>
      <c r="B30" s="3" t="s">
        <v>63</v>
      </c>
      <c r="C30" s="3" t="s">
        <v>3</v>
      </c>
      <c r="D30" s="3" t="s">
        <v>4</v>
      </c>
      <c r="E30" s="3" t="s">
        <v>64</v>
      </c>
      <c r="F30" s="4">
        <v>37894</v>
      </c>
      <c r="G30" s="3"/>
      <c r="H30" s="3"/>
      <c r="I30" s="3" t="s">
        <v>7043</v>
      </c>
      <c r="J30" s="3"/>
      <c r="K30" s="3"/>
      <c r="L30" s="5"/>
    </row>
    <row r="31" spans="1:12" ht="28.8" x14ac:dyDescent="0.55000000000000004">
      <c r="A31" s="9" t="str">
        <f>HYPERLINK("PDF\FOIA-FWS-2020-00724-0000030.pdf","FOIA-FWS-2020-00724-0000030")</f>
        <v>FOIA-FWS-2020-00724-0000030</v>
      </c>
      <c r="B31" s="3" t="s">
        <v>65</v>
      </c>
      <c r="C31" s="3" t="s">
        <v>3</v>
      </c>
      <c r="D31" s="3" t="s">
        <v>4</v>
      </c>
      <c r="E31" s="3" t="s">
        <v>66</v>
      </c>
      <c r="F31" s="4">
        <v>37987</v>
      </c>
      <c r="G31" s="3"/>
      <c r="H31" s="3"/>
      <c r="I31" s="3" t="s">
        <v>7043</v>
      </c>
      <c r="J31" s="3"/>
      <c r="K31" s="3"/>
      <c r="L31" s="5"/>
    </row>
    <row r="32" spans="1:12" ht="28.8" x14ac:dyDescent="0.55000000000000004">
      <c r="A32" s="9" t="str">
        <f>HYPERLINK("PDF\FOIA-FWS-2020-00724-0000031.pdf","FOIA-FWS-2020-00724-0000031")</f>
        <v>FOIA-FWS-2020-00724-0000031</v>
      </c>
      <c r="B32" s="3" t="s">
        <v>67</v>
      </c>
      <c r="C32" s="3" t="s">
        <v>3</v>
      </c>
      <c r="D32" s="3" t="s">
        <v>4</v>
      </c>
      <c r="E32" s="3" t="s">
        <v>68</v>
      </c>
      <c r="F32" s="4">
        <v>38169</v>
      </c>
      <c r="G32" s="3"/>
      <c r="H32" s="3"/>
      <c r="I32" s="3" t="s">
        <v>7043</v>
      </c>
      <c r="J32" s="3"/>
      <c r="K32" s="3"/>
      <c r="L32" s="5"/>
    </row>
    <row r="33" spans="1:12" ht="28.8" x14ac:dyDescent="0.55000000000000004">
      <c r="A33" s="9" t="str">
        <f>HYPERLINK("PDF\FOIA-FWS-2020-00724-0000032.pdf","FOIA-FWS-2020-00724-0000032")</f>
        <v>FOIA-FWS-2020-00724-0000032</v>
      </c>
      <c r="B33" s="3" t="s">
        <v>69</v>
      </c>
      <c r="C33" s="3" t="s">
        <v>3</v>
      </c>
      <c r="D33" s="3" t="s">
        <v>4</v>
      </c>
      <c r="E33" s="3" t="s">
        <v>70</v>
      </c>
      <c r="F33" s="4">
        <v>38231</v>
      </c>
      <c r="G33" s="3"/>
      <c r="H33" s="3"/>
      <c r="I33" s="3" t="s">
        <v>7043</v>
      </c>
      <c r="J33" s="3"/>
      <c r="K33" s="3"/>
      <c r="L33" s="5"/>
    </row>
    <row r="34" spans="1:12" ht="28.8" x14ac:dyDescent="0.55000000000000004">
      <c r="A34" s="9" t="str">
        <f>HYPERLINK("PDF\FOIA-FWS-2020-00724-0000033.pdf","FOIA-FWS-2020-00724-0000033")</f>
        <v>FOIA-FWS-2020-00724-0000033</v>
      </c>
      <c r="B34" s="3" t="s">
        <v>71</v>
      </c>
      <c r="C34" s="3" t="s">
        <v>3</v>
      </c>
      <c r="D34" s="3" t="s">
        <v>4</v>
      </c>
      <c r="E34" s="3" t="s">
        <v>72</v>
      </c>
      <c r="F34" s="4">
        <v>38353</v>
      </c>
      <c r="G34" s="3"/>
      <c r="H34" s="3"/>
      <c r="I34" s="3" t="s">
        <v>7043</v>
      </c>
      <c r="J34" s="3"/>
      <c r="K34" s="3"/>
      <c r="L34" s="5"/>
    </row>
    <row r="35" spans="1:12" ht="28.8" x14ac:dyDescent="0.55000000000000004">
      <c r="A35" s="9" t="str">
        <f>HYPERLINK("PDF\FOIA-FWS-2020-00724-0000034.pdf","FOIA-FWS-2020-00724-0000034")</f>
        <v>FOIA-FWS-2020-00724-0000034</v>
      </c>
      <c r="B35" s="3" t="s">
        <v>73</v>
      </c>
      <c r="C35" s="3" t="s">
        <v>3</v>
      </c>
      <c r="D35" s="3" t="s">
        <v>33</v>
      </c>
      <c r="E35" s="3" t="s">
        <v>74</v>
      </c>
      <c r="F35" s="4">
        <v>38358</v>
      </c>
      <c r="G35" s="3"/>
      <c r="H35" s="3"/>
      <c r="I35" s="3" t="s">
        <v>7043</v>
      </c>
      <c r="J35" s="3"/>
      <c r="K35" s="3"/>
      <c r="L35" s="5"/>
    </row>
    <row r="36" spans="1:12" ht="28.8" x14ac:dyDescent="0.55000000000000004">
      <c r="A36" s="9" t="str">
        <f>HYPERLINK("PDF\FOIA-FWS-2020-00724-0000035.pdf","FOIA-FWS-2020-00724-0000035")</f>
        <v>FOIA-FWS-2020-00724-0000035</v>
      </c>
      <c r="B36" s="3" t="s">
        <v>75</v>
      </c>
      <c r="C36" s="3" t="s">
        <v>3</v>
      </c>
      <c r="D36" s="3" t="s">
        <v>4</v>
      </c>
      <c r="E36" s="3" t="s">
        <v>76</v>
      </c>
      <c r="F36" s="4">
        <v>38718</v>
      </c>
      <c r="G36" s="3"/>
      <c r="H36" s="3"/>
      <c r="I36" s="3" t="s">
        <v>7043</v>
      </c>
      <c r="J36" s="3"/>
      <c r="K36" s="3"/>
      <c r="L36" s="5"/>
    </row>
    <row r="37" spans="1:12" ht="28.8" x14ac:dyDescent="0.55000000000000004">
      <c r="A37" s="9" t="str">
        <f>HYPERLINK("PDF\FOIA-FWS-2020-00724-0000036.pdf","FOIA-FWS-2020-00724-0000036")</f>
        <v>FOIA-FWS-2020-00724-0000036</v>
      </c>
      <c r="B37" s="3" t="s">
        <v>77</v>
      </c>
      <c r="C37" s="3" t="s">
        <v>3</v>
      </c>
      <c r="D37" s="3" t="s">
        <v>4</v>
      </c>
      <c r="E37" s="3" t="s">
        <v>78</v>
      </c>
      <c r="F37" s="4">
        <v>38718</v>
      </c>
      <c r="G37" s="3"/>
      <c r="H37" s="3"/>
      <c r="I37" s="3" t="s">
        <v>7043</v>
      </c>
      <c r="J37" s="3"/>
      <c r="K37" s="3"/>
      <c r="L37" s="5"/>
    </row>
    <row r="38" spans="1:12" ht="28.8" x14ac:dyDescent="0.55000000000000004">
      <c r="A38" s="9" t="str">
        <f>HYPERLINK("PDF\FOIA-FWS-2020-00724-0000037.pdf","FOIA-FWS-2020-00724-0000037")</f>
        <v>FOIA-FWS-2020-00724-0000037</v>
      </c>
      <c r="B38" s="3" t="s">
        <v>79</v>
      </c>
      <c r="C38" s="3" t="s">
        <v>3</v>
      </c>
      <c r="D38" s="3" t="s">
        <v>4</v>
      </c>
      <c r="E38" s="3" t="s">
        <v>80</v>
      </c>
      <c r="F38" s="4">
        <v>38724</v>
      </c>
      <c r="G38" s="3"/>
      <c r="H38" s="3"/>
      <c r="I38" s="3" t="s">
        <v>7043</v>
      </c>
      <c r="J38" s="3"/>
      <c r="K38" s="3"/>
      <c r="L38" s="5"/>
    </row>
    <row r="39" spans="1:12" ht="28.8" x14ac:dyDescent="0.55000000000000004">
      <c r="A39" s="9" t="str">
        <f>HYPERLINK("PDF\FOIA-FWS-2020-00724-0000038.pdf","FOIA-FWS-2020-00724-0000038")</f>
        <v>FOIA-FWS-2020-00724-0000038</v>
      </c>
      <c r="B39" s="3" t="s">
        <v>81</v>
      </c>
      <c r="C39" s="3" t="s">
        <v>3</v>
      </c>
      <c r="D39" s="3" t="s">
        <v>4</v>
      </c>
      <c r="E39" s="3" t="s">
        <v>82</v>
      </c>
      <c r="F39" s="4">
        <v>38869</v>
      </c>
      <c r="G39" s="3"/>
      <c r="H39" s="3"/>
      <c r="I39" s="3" t="s">
        <v>7043</v>
      </c>
      <c r="J39" s="3"/>
      <c r="K39" s="3"/>
      <c r="L39" s="5"/>
    </row>
    <row r="40" spans="1:12" ht="43.2" x14ac:dyDescent="0.55000000000000004">
      <c r="A40" s="9" t="str">
        <f>HYPERLINK("PDF\FOIA-FWS-2020-00724-0000039.pdf","FOIA-FWS-2020-00724-0000039")</f>
        <v>FOIA-FWS-2020-00724-0000039</v>
      </c>
      <c r="B40" s="3" t="s">
        <v>83</v>
      </c>
      <c r="C40" s="3" t="s">
        <v>3</v>
      </c>
      <c r="D40" s="3" t="s">
        <v>4</v>
      </c>
      <c r="E40" s="3" t="s">
        <v>84</v>
      </c>
      <c r="F40" s="4">
        <v>38951</v>
      </c>
      <c r="G40" s="3"/>
      <c r="H40" s="3"/>
      <c r="I40" s="3" t="s">
        <v>7043</v>
      </c>
      <c r="J40" s="3"/>
      <c r="K40" s="3"/>
      <c r="L40" s="5"/>
    </row>
    <row r="41" spans="1:12" ht="28.8" x14ac:dyDescent="0.55000000000000004">
      <c r="A41" s="9" t="str">
        <f>HYPERLINK("PDF\FOIA-FWS-2020-00724-0000040.pdf","FOIA-FWS-2020-00724-0000040")</f>
        <v>FOIA-FWS-2020-00724-0000040</v>
      </c>
      <c r="B41" s="3" t="s">
        <v>85</v>
      </c>
      <c r="C41" s="3" t="s">
        <v>3</v>
      </c>
      <c r="D41" s="3" t="s">
        <v>4</v>
      </c>
      <c r="E41" s="3" t="s">
        <v>86</v>
      </c>
      <c r="F41" s="4">
        <v>39052</v>
      </c>
      <c r="G41" s="3"/>
      <c r="H41" s="3"/>
      <c r="I41" s="3" t="s">
        <v>7043</v>
      </c>
      <c r="J41" s="3"/>
      <c r="K41" s="3"/>
      <c r="L41" s="5"/>
    </row>
    <row r="42" spans="1:12" ht="28.8" x14ac:dyDescent="0.55000000000000004">
      <c r="A42" s="9" t="str">
        <f>HYPERLINK("PDF\FOIA-FWS-2020-00724-0000041.pdf","FOIA-FWS-2020-00724-0000041")</f>
        <v>FOIA-FWS-2020-00724-0000041</v>
      </c>
      <c r="B42" s="3" t="s">
        <v>87</v>
      </c>
      <c r="C42" s="3" t="s">
        <v>3</v>
      </c>
      <c r="D42" s="3" t="s">
        <v>33</v>
      </c>
      <c r="E42" s="3" t="s">
        <v>88</v>
      </c>
      <c r="F42" s="4">
        <v>39146</v>
      </c>
      <c r="G42" s="3"/>
      <c r="H42" s="3"/>
      <c r="I42" s="3" t="s">
        <v>7043</v>
      </c>
      <c r="J42" s="3"/>
      <c r="K42" s="3"/>
      <c r="L42" s="5"/>
    </row>
    <row r="43" spans="1:12" ht="28.8" x14ac:dyDescent="0.55000000000000004">
      <c r="A43" s="9" t="str">
        <f>HYPERLINK("PDF\FOIA-FWS-2020-00724-0000042.pdf","FOIA-FWS-2020-00724-0000042")</f>
        <v>FOIA-FWS-2020-00724-0000042</v>
      </c>
      <c r="B43" s="3" t="s">
        <v>89</v>
      </c>
      <c r="C43" s="3" t="s">
        <v>3</v>
      </c>
      <c r="D43" s="3" t="s">
        <v>38</v>
      </c>
      <c r="E43" s="3" t="s">
        <v>90</v>
      </c>
      <c r="F43" s="4">
        <v>39448</v>
      </c>
      <c r="G43" s="3"/>
      <c r="H43" s="3"/>
      <c r="I43" s="3" t="s">
        <v>7043</v>
      </c>
      <c r="J43" s="3"/>
      <c r="K43" s="3"/>
      <c r="L43" s="5"/>
    </row>
    <row r="44" spans="1:12" ht="28.8" x14ac:dyDescent="0.55000000000000004">
      <c r="A44" s="9" t="str">
        <f>HYPERLINK("PDF\FOIA-FWS-2020-00724-0000043.pdf","FOIA-FWS-2020-00724-0000043")</f>
        <v>FOIA-FWS-2020-00724-0000043</v>
      </c>
      <c r="B44" s="3" t="s">
        <v>91</v>
      </c>
      <c r="C44" s="3" t="s">
        <v>3</v>
      </c>
      <c r="D44" s="3" t="s">
        <v>4</v>
      </c>
      <c r="E44" s="3" t="s">
        <v>92</v>
      </c>
      <c r="F44" s="4">
        <v>39448</v>
      </c>
      <c r="G44" s="3"/>
      <c r="H44" s="3"/>
      <c r="I44" s="3" t="s">
        <v>7043</v>
      </c>
      <c r="J44" s="3"/>
      <c r="K44" s="3"/>
      <c r="L44" s="5"/>
    </row>
    <row r="45" spans="1:12" ht="28.8" x14ac:dyDescent="0.55000000000000004">
      <c r="A45" s="9" t="str">
        <f>HYPERLINK("PDF\FOIA-FWS-2020-00724-0000044.pdf","FOIA-FWS-2020-00724-0000044")</f>
        <v>FOIA-FWS-2020-00724-0000044</v>
      </c>
      <c r="B45" s="3" t="s">
        <v>93</v>
      </c>
      <c r="C45" s="3" t="s">
        <v>3</v>
      </c>
      <c r="D45" s="3" t="s">
        <v>4</v>
      </c>
      <c r="E45" s="3" t="s">
        <v>94</v>
      </c>
      <c r="F45" s="4">
        <v>39448</v>
      </c>
      <c r="G45" s="3"/>
      <c r="H45" s="3"/>
      <c r="I45" s="3" t="s">
        <v>7043</v>
      </c>
      <c r="J45" s="3"/>
      <c r="K45" s="3"/>
      <c r="L45" s="5"/>
    </row>
    <row r="46" spans="1:12" ht="28.8" x14ac:dyDescent="0.55000000000000004">
      <c r="A46" s="9" t="str">
        <f>HYPERLINK("PDF\FOIA-FWS-2020-00724-0000045.pdf","FOIA-FWS-2020-00724-0000045")</f>
        <v>FOIA-FWS-2020-00724-0000045</v>
      </c>
      <c r="B46" s="3" t="s">
        <v>95</v>
      </c>
      <c r="C46" s="3" t="s">
        <v>3</v>
      </c>
      <c r="D46" s="3" t="s">
        <v>38</v>
      </c>
      <c r="E46" s="3" t="s">
        <v>96</v>
      </c>
      <c r="F46" s="4">
        <v>39556</v>
      </c>
      <c r="G46" s="3"/>
      <c r="H46" s="3"/>
      <c r="I46" s="3" t="s">
        <v>7043</v>
      </c>
      <c r="J46" s="3"/>
      <c r="K46" s="3"/>
      <c r="L46" s="5"/>
    </row>
    <row r="47" spans="1:12" ht="28.8" x14ac:dyDescent="0.55000000000000004">
      <c r="A47" s="9" t="str">
        <f>HYPERLINK("PDF\FOIA-FWS-2020-00724-0000046.pdf","FOIA-FWS-2020-00724-0000046")</f>
        <v>FOIA-FWS-2020-00724-0000046</v>
      </c>
      <c r="B47" s="3" t="s">
        <v>97</v>
      </c>
      <c r="C47" s="3" t="s">
        <v>3</v>
      </c>
      <c r="D47" s="3" t="s">
        <v>4</v>
      </c>
      <c r="E47" s="3" t="s">
        <v>98</v>
      </c>
      <c r="F47" s="4">
        <v>39573</v>
      </c>
      <c r="G47" s="3"/>
      <c r="H47" s="3"/>
      <c r="I47" s="3" t="s">
        <v>7043</v>
      </c>
      <c r="J47" s="3"/>
      <c r="K47" s="3"/>
      <c r="L47" s="5"/>
    </row>
    <row r="48" spans="1:12" ht="28.8" x14ac:dyDescent="0.55000000000000004">
      <c r="A48" s="9" t="str">
        <f>HYPERLINK("PDF\FOIA-FWS-2020-00724-0000047.pdf","FOIA-FWS-2020-00724-0000047")</f>
        <v>FOIA-FWS-2020-00724-0000047</v>
      </c>
      <c r="B48" s="3" t="s">
        <v>99</v>
      </c>
      <c r="C48" s="3" t="s">
        <v>3</v>
      </c>
      <c r="D48" s="3" t="s">
        <v>4</v>
      </c>
      <c r="E48" s="3" t="s">
        <v>100</v>
      </c>
      <c r="F48" s="4">
        <v>39573</v>
      </c>
      <c r="G48" s="3"/>
      <c r="H48" s="3"/>
      <c r="I48" s="3" t="s">
        <v>7043</v>
      </c>
      <c r="J48" s="3"/>
      <c r="K48" s="3"/>
      <c r="L48" s="5"/>
    </row>
    <row r="49" spans="1:12" ht="28.8" x14ac:dyDescent="0.55000000000000004">
      <c r="A49" s="9" t="str">
        <f>HYPERLINK("PDF\FOIA-FWS-2020-00724-0000048.pdf","FOIA-FWS-2020-00724-0000048")</f>
        <v>FOIA-FWS-2020-00724-0000048</v>
      </c>
      <c r="B49" s="3" t="s">
        <v>101</v>
      </c>
      <c r="C49" s="3" t="s">
        <v>3</v>
      </c>
      <c r="D49" s="3" t="s">
        <v>4</v>
      </c>
      <c r="E49" s="3" t="s">
        <v>102</v>
      </c>
      <c r="F49" s="4">
        <v>39582</v>
      </c>
      <c r="G49" s="3"/>
      <c r="H49" s="3"/>
      <c r="I49" s="3" t="s">
        <v>7043</v>
      </c>
      <c r="J49" s="3"/>
      <c r="K49" s="3"/>
      <c r="L49" s="5"/>
    </row>
    <row r="50" spans="1:12" ht="28.8" x14ac:dyDescent="0.55000000000000004">
      <c r="A50" s="9" t="str">
        <f>HYPERLINK("PDF\FOIA-FWS-2020-00724-0000049.pdf","FOIA-FWS-2020-00724-0000049")</f>
        <v>FOIA-FWS-2020-00724-0000049</v>
      </c>
      <c r="B50" s="3" t="s">
        <v>103</v>
      </c>
      <c r="C50" s="3" t="s">
        <v>3</v>
      </c>
      <c r="D50" s="3" t="s">
        <v>4</v>
      </c>
      <c r="E50" s="3" t="s">
        <v>104</v>
      </c>
      <c r="F50" s="4">
        <v>39596</v>
      </c>
      <c r="G50" s="3"/>
      <c r="H50" s="3"/>
      <c r="I50" s="3" t="s">
        <v>7043</v>
      </c>
      <c r="J50" s="3"/>
      <c r="K50" s="3"/>
      <c r="L50" s="5"/>
    </row>
    <row r="51" spans="1:12" ht="28.8" x14ac:dyDescent="0.55000000000000004">
      <c r="A51" s="9" t="str">
        <f>HYPERLINK("PDF\FOIA-FWS-2020-00724-0000050.pdf","FOIA-FWS-2020-00724-0000050")</f>
        <v>FOIA-FWS-2020-00724-0000050</v>
      </c>
      <c r="B51" s="3" t="s">
        <v>105</v>
      </c>
      <c r="C51" s="3" t="s">
        <v>3</v>
      </c>
      <c r="D51" s="3" t="s">
        <v>4</v>
      </c>
      <c r="E51" s="3" t="s">
        <v>106</v>
      </c>
      <c r="F51" s="4">
        <v>39747</v>
      </c>
      <c r="G51" s="3"/>
      <c r="H51" s="3"/>
      <c r="I51" s="3" t="s">
        <v>7043</v>
      </c>
      <c r="J51" s="3"/>
      <c r="K51" s="3"/>
      <c r="L51" s="5"/>
    </row>
    <row r="52" spans="1:12" ht="28.8" x14ac:dyDescent="0.55000000000000004">
      <c r="A52" s="9" t="str">
        <f>HYPERLINK("PDF\FOIA-FWS-2020-00724-0000051.pdf","FOIA-FWS-2020-00724-0000051")</f>
        <v>FOIA-FWS-2020-00724-0000051</v>
      </c>
      <c r="B52" s="3" t="s">
        <v>107</v>
      </c>
      <c r="C52" s="3" t="s">
        <v>3</v>
      </c>
      <c r="D52" s="3" t="s">
        <v>4</v>
      </c>
      <c r="E52" s="3" t="s">
        <v>108</v>
      </c>
      <c r="F52" s="4">
        <v>39842</v>
      </c>
      <c r="G52" s="3"/>
      <c r="H52" s="3"/>
      <c r="I52" s="3" t="s">
        <v>7043</v>
      </c>
      <c r="J52" s="3"/>
      <c r="K52" s="3"/>
      <c r="L52" s="5"/>
    </row>
    <row r="53" spans="1:12" ht="28.8" x14ac:dyDescent="0.55000000000000004">
      <c r="A53" s="9" t="str">
        <f>HYPERLINK("PDF\FOIA-FWS-2020-00724-0000052.pdf","FOIA-FWS-2020-00724-0000052")</f>
        <v>FOIA-FWS-2020-00724-0000052</v>
      </c>
      <c r="B53" s="3" t="s">
        <v>109</v>
      </c>
      <c r="C53" s="3" t="s">
        <v>3</v>
      </c>
      <c r="D53" s="3" t="s">
        <v>4</v>
      </c>
      <c r="E53" s="3" t="s">
        <v>110</v>
      </c>
      <c r="F53" s="4">
        <v>40010</v>
      </c>
      <c r="G53" s="3"/>
      <c r="H53" s="3"/>
      <c r="I53" s="3" t="s">
        <v>7043</v>
      </c>
      <c r="J53" s="3"/>
      <c r="K53" s="3"/>
      <c r="L53" s="5"/>
    </row>
    <row r="54" spans="1:12" ht="28.8" x14ac:dyDescent="0.55000000000000004">
      <c r="A54" s="9" t="str">
        <f>HYPERLINK("PDF\FOIA-FWS-2020-00724-0000053.pdf","FOIA-FWS-2020-00724-0000053")</f>
        <v>FOIA-FWS-2020-00724-0000053</v>
      </c>
      <c r="B54" s="3" t="s">
        <v>111</v>
      </c>
      <c r="C54" s="3" t="s">
        <v>3</v>
      </c>
      <c r="D54" s="3" t="s">
        <v>4</v>
      </c>
      <c r="E54" s="3" t="s">
        <v>112</v>
      </c>
      <c r="F54" s="4">
        <v>40179</v>
      </c>
      <c r="G54" s="3"/>
      <c r="H54" s="3"/>
      <c r="I54" s="3" t="s">
        <v>7043</v>
      </c>
      <c r="J54" s="3"/>
      <c r="K54" s="3"/>
      <c r="L54" s="5"/>
    </row>
    <row r="55" spans="1:12" ht="28.8" x14ac:dyDescent="0.55000000000000004">
      <c r="A55" s="9" t="str">
        <f>HYPERLINK("PDF\FOIA-FWS-2020-00724-0000054.pdf","FOIA-FWS-2020-00724-0000054")</f>
        <v>FOIA-FWS-2020-00724-0000054</v>
      </c>
      <c r="B55" s="3" t="s">
        <v>113</v>
      </c>
      <c r="C55" s="3" t="s">
        <v>3</v>
      </c>
      <c r="D55" s="3" t="s">
        <v>4</v>
      </c>
      <c r="E55" s="3" t="s">
        <v>114</v>
      </c>
      <c r="F55" s="4">
        <v>40179</v>
      </c>
      <c r="G55" s="3"/>
      <c r="H55" s="3"/>
      <c r="I55" s="3" t="s">
        <v>7043</v>
      </c>
      <c r="J55" s="3"/>
      <c r="K55" s="3"/>
      <c r="L55" s="5"/>
    </row>
    <row r="56" spans="1:12" ht="28.8" x14ac:dyDescent="0.55000000000000004">
      <c r="A56" s="9" t="str">
        <f>HYPERLINK("PDF\FOIA-FWS-2020-00724-0000055.pdf","FOIA-FWS-2020-00724-0000055")</f>
        <v>FOIA-FWS-2020-00724-0000055</v>
      </c>
      <c r="B56" s="3" t="s">
        <v>115</v>
      </c>
      <c r="C56" s="3" t="s">
        <v>3</v>
      </c>
      <c r="D56" s="3" t="s">
        <v>4</v>
      </c>
      <c r="E56" s="3" t="s">
        <v>116</v>
      </c>
      <c r="F56" s="4">
        <v>40303</v>
      </c>
      <c r="G56" s="3"/>
      <c r="H56" s="3"/>
      <c r="I56" s="3" t="s">
        <v>7043</v>
      </c>
      <c r="J56" s="3"/>
      <c r="K56" s="3"/>
      <c r="L56" s="5"/>
    </row>
    <row r="57" spans="1:12" ht="28.8" x14ac:dyDescent="0.55000000000000004">
      <c r="A57" s="9" t="str">
        <f>HYPERLINK("PDF\FOIA-FWS-2020-00724-0000056.pdf","FOIA-FWS-2020-00724-0000056")</f>
        <v>FOIA-FWS-2020-00724-0000056</v>
      </c>
      <c r="B57" s="3" t="s">
        <v>117</v>
      </c>
      <c r="C57" s="3" t="s">
        <v>3</v>
      </c>
      <c r="D57" s="3" t="s">
        <v>4</v>
      </c>
      <c r="E57" s="3" t="s">
        <v>118</v>
      </c>
      <c r="F57" s="4">
        <v>40316</v>
      </c>
      <c r="G57" s="3"/>
      <c r="H57" s="3"/>
      <c r="I57" s="3" t="s">
        <v>7043</v>
      </c>
      <c r="J57" s="3"/>
      <c r="K57" s="3"/>
      <c r="L57" s="5"/>
    </row>
    <row r="58" spans="1:12" ht="28.8" x14ac:dyDescent="0.55000000000000004">
      <c r="A58" s="9" t="str">
        <f>HYPERLINK("PDF\FOIA-FWS-2020-00724-0000057.pdf","FOIA-FWS-2020-00724-0000057")</f>
        <v>FOIA-FWS-2020-00724-0000057</v>
      </c>
      <c r="B58" s="3" t="s">
        <v>119</v>
      </c>
      <c r="C58" s="3" t="s">
        <v>3</v>
      </c>
      <c r="D58" s="3" t="s">
        <v>4</v>
      </c>
      <c r="E58" s="3" t="s">
        <v>120</v>
      </c>
      <c r="F58" s="4">
        <v>40544</v>
      </c>
      <c r="G58" s="3"/>
      <c r="H58" s="3"/>
      <c r="I58" s="3" t="s">
        <v>7043</v>
      </c>
      <c r="J58" s="3"/>
      <c r="K58" s="3"/>
      <c r="L58" s="5"/>
    </row>
    <row r="59" spans="1:12" ht="28.8" x14ac:dyDescent="0.55000000000000004">
      <c r="A59" s="9" t="str">
        <f>HYPERLINK("PDF\FOIA-FWS-2020-00724-0000058.pdf","FOIA-FWS-2020-00724-0000058")</f>
        <v>FOIA-FWS-2020-00724-0000058</v>
      </c>
      <c r="B59" s="3" t="s">
        <v>121</v>
      </c>
      <c r="C59" s="3" t="s">
        <v>3</v>
      </c>
      <c r="D59" s="3" t="s">
        <v>4</v>
      </c>
      <c r="E59" s="3" t="s">
        <v>122</v>
      </c>
      <c r="F59" s="4">
        <v>40544</v>
      </c>
      <c r="G59" s="3"/>
      <c r="H59" s="3"/>
      <c r="I59" s="3" t="s">
        <v>7043</v>
      </c>
      <c r="J59" s="3"/>
      <c r="K59" s="3"/>
      <c r="L59" s="5"/>
    </row>
    <row r="60" spans="1:12" ht="28.8" x14ac:dyDescent="0.55000000000000004">
      <c r="A60" s="9" t="str">
        <f>HYPERLINK("PDF\FOIA-FWS-2020-00724-0000059.pdf","FOIA-FWS-2020-00724-0000059")</f>
        <v>FOIA-FWS-2020-00724-0000059</v>
      </c>
      <c r="B60" s="3" t="s">
        <v>123</v>
      </c>
      <c r="C60" s="3" t="s">
        <v>3</v>
      </c>
      <c r="D60" s="3" t="s">
        <v>4</v>
      </c>
      <c r="E60" s="3" t="s">
        <v>124</v>
      </c>
      <c r="F60" s="4">
        <v>40544</v>
      </c>
      <c r="G60" s="3"/>
      <c r="H60" s="3"/>
      <c r="I60" s="3" t="s">
        <v>7043</v>
      </c>
      <c r="J60" s="3"/>
      <c r="K60" s="3"/>
      <c r="L60" s="5"/>
    </row>
    <row r="61" spans="1:12" ht="28.8" x14ac:dyDescent="0.55000000000000004">
      <c r="A61" s="9" t="str">
        <f>HYPERLINK("PDF\FOIA-FWS-2020-00724-0000060.pdf","FOIA-FWS-2020-00724-0000060")</f>
        <v>FOIA-FWS-2020-00724-0000060</v>
      </c>
      <c r="B61" s="3" t="s">
        <v>125</v>
      </c>
      <c r="C61" s="3" t="s">
        <v>3</v>
      </c>
      <c r="D61" s="3" t="s">
        <v>4</v>
      </c>
      <c r="E61" s="3" t="s">
        <v>126</v>
      </c>
      <c r="F61" s="4">
        <v>40548</v>
      </c>
      <c r="G61" s="3"/>
      <c r="H61" s="3"/>
      <c r="I61" s="3" t="s">
        <v>7043</v>
      </c>
      <c r="J61" s="3"/>
      <c r="K61" s="3"/>
      <c r="L61" s="5"/>
    </row>
    <row r="62" spans="1:12" ht="28.8" x14ac:dyDescent="0.55000000000000004">
      <c r="A62" s="9" t="str">
        <f>HYPERLINK("PDF\FOIA-FWS-2020-00724-0000061.pdf","FOIA-FWS-2020-00724-0000061")</f>
        <v>FOIA-FWS-2020-00724-0000061</v>
      </c>
      <c r="B62" s="3" t="s">
        <v>127</v>
      </c>
      <c r="C62" s="3" t="s">
        <v>3</v>
      </c>
      <c r="D62" s="3" t="s">
        <v>4</v>
      </c>
      <c r="E62" s="3" t="s">
        <v>128</v>
      </c>
      <c r="F62" s="4">
        <v>40683</v>
      </c>
      <c r="G62" s="3"/>
      <c r="H62" s="3"/>
      <c r="I62" s="3" t="s">
        <v>7043</v>
      </c>
      <c r="J62" s="3"/>
      <c r="K62" s="3"/>
      <c r="L62" s="5"/>
    </row>
    <row r="63" spans="1:12" ht="28.8" x14ac:dyDescent="0.55000000000000004">
      <c r="A63" s="9" t="str">
        <f>HYPERLINK("PDF\FOIA-FWS-2020-00724-0000062.pdf","FOIA-FWS-2020-00724-0000062")</f>
        <v>FOIA-FWS-2020-00724-0000062</v>
      </c>
      <c r="B63" s="3" t="s">
        <v>129</v>
      </c>
      <c r="C63" s="3" t="s">
        <v>3</v>
      </c>
      <c r="D63" s="3" t="s">
        <v>33</v>
      </c>
      <c r="E63" s="3" t="s">
        <v>130</v>
      </c>
      <c r="F63" s="4">
        <v>40774</v>
      </c>
      <c r="G63" s="3"/>
      <c r="H63" s="3"/>
      <c r="I63" s="3" t="s">
        <v>7043</v>
      </c>
      <c r="J63" s="3"/>
      <c r="K63" s="3"/>
      <c r="L63" s="5"/>
    </row>
    <row r="64" spans="1:12" ht="28.8" x14ac:dyDescent="0.55000000000000004">
      <c r="A64" s="9" t="str">
        <f>HYPERLINK("PDF\FOIA-FWS-2020-00724-0000063.pdf","FOIA-FWS-2020-00724-0000063")</f>
        <v>FOIA-FWS-2020-00724-0000063</v>
      </c>
      <c r="B64" s="3" t="s">
        <v>131</v>
      </c>
      <c r="C64" s="3" t="s">
        <v>3</v>
      </c>
      <c r="D64" s="3" t="s">
        <v>4</v>
      </c>
      <c r="E64" s="3" t="s">
        <v>132</v>
      </c>
      <c r="F64" s="4">
        <v>40903</v>
      </c>
      <c r="G64" s="3"/>
      <c r="H64" s="3"/>
      <c r="I64" s="3" t="s">
        <v>7043</v>
      </c>
      <c r="J64" s="3"/>
      <c r="K64" s="3"/>
      <c r="L64" s="5"/>
    </row>
    <row r="65" spans="1:12" ht="28.8" x14ac:dyDescent="0.55000000000000004">
      <c r="A65" s="9" t="str">
        <f>HYPERLINK("PDF\FOIA-FWS-2020-00724-0000064.pdf","FOIA-FWS-2020-00724-0000064")</f>
        <v>FOIA-FWS-2020-00724-0000064</v>
      </c>
      <c r="B65" s="3" t="s">
        <v>133</v>
      </c>
      <c r="C65" s="3" t="s">
        <v>3</v>
      </c>
      <c r="D65" s="3" t="s">
        <v>4</v>
      </c>
      <c r="E65" s="3" t="s">
        <v>134</v>
      </c>
      <c r="F65" s="4">
        <v>40909</v>
      </c>
      <c r="G65" s="3"/>
      <c r="H65" s="3"/>
      <c r="I65" s="3" t="s">
        <v>7043</v>
      </c>
      <c r="J65" s="3"/>
      <c r="K65" s="3"/>
      <c r="L65" s="5"/>
    </row>
    <row r="66" spans="1:12" ht="28.8" x14ac:dyDescent="0.55000000000000004">
      <c r="A66" s="9" t="str">
        <f>HYPERLINK("PDF\FOIA-FWS-2020-00724-0000065.pdf","FOIA-FWS-2020-00724-0000065")</f>
        <v>FOIA-FWS-2020-00724-0000065</v>
      </c>
      <c r="B66" s="3" t="s">
        <v>135</v>
      </c>
      <c r="C66" s="3" t="s">
        <v>3</v>
      </c>
      <c r="D66" s="3" t="s">
        <v>4</v>
      </c>
      <c r="E66" s="3" t="s">
        <v>136</v>
      </c>
      <c r="F66" s="4">
        <v>40909</v>
      </c>
      <c r="G66" s="3"/>
      <c r="H66" s="3"/>
      <c r="I66" s="3" t="s">
        <v>7043</v>
      </c>
      <c r="J66" s="3"/>
      <c r="K66" s="3"/>
      <c r="L66" s="5"/>
    </row>
    <row r="67" spans="1:12" ht="28.8" x14ac:dyDescent="0.55000000000000004">
      <c r="A67" s="9" t="str">
        <f>HYPERLINK("PDF\FOIA-FWS-2020-00724-0000066.pdf","FOIA-FWS-2020-00724-0000066")</f>
        <v>FOIA-FWS-2020-00724-0000066</v>
      </c>
      <c r="B67" s="3" t="s">
        <v>137</v>
      </c>
      <c r="C67" s="3" t="s">
        <v>3</v>
      </c>
      <c r="D67" s="3" t="s">
        <v>4</v>
      </c>
      <c r="E67" s="3" t="s">
        <v>138</v>
      </c>
      <c r="F67" s="4">
        <v>40909</v>
      </c>
      <c r="G67" s="3"/>
      <c r="H67" s="3"/>
      <c r="I67" s="3" t="s">
        <v>7043</v>
      </c>
      <c r="J67" s="3"/>
      <c r="K67" s="3"/>
      <c r="L67" s="5"/>
    </row>
    <row r="68" spans="1:12" ht="28.8" x14ac:dyDescent="0.55000000000000004">
      <c r="A68" s="9" t="str">
        <f>HYPERLINK("PDF\FOIA-FWS-2020-00724-0000067.pdf","FOIA-FWS-2020-00724-0000067")</f>
        <v>FOIA-FWS-2020-00724-0000067</v>
      </c>
      <c r="B68" s="3" t="s">
        <v>139</v>
      </c>
      <c r="C68" s="3" t="s">
        <v>3</v>
      </c>
      <c r="D68" s="3" t="s">
        <v>4</v>
      </c>
      <c r="E68" s="3" t="s">
        <v>140</v>
      </c>
      <c r="F68" s="4">
        <v>40909</v>
      </c>
      <c r="G68" s="3"/>
      <c r="H68" s="3"/>
      <c r="I68" s="3" t="s">
        <v>7043</v>
      </c>
      <c r="J68" s="3"/>
      <c r="K68" s="3"/>
      <c r="L68" s="5"/>
    </row>
    <row r="69" spans="1:12" ht="28.8" x14ac:dyDescent="0.55000000000000004">
      <c r="A69" s="9" t="str">
        <f>HYPERLINK("PDF\FOIA-FWS-2020-00724-0000068.pdf","FOIA-FWS-2020-00724-0000068")</f>
        <v>FOIA-FWS-2020-00724-0000068</v>
      </c>
      <c r="B69" s="3" t="s">
        <v>141</v>
      </c>
      <c r="C69" s="3" t="s">
        <v>3</v>
      </c>
      <c r="D69" s="3" t="s">
        <v>4</v>
      </c>
      <c r="E69" s="3" t="s">
        <v>142</v>
      </c>
      <c r="F69" s="4">
        <v>40909</v>
      </c>
      <c r="G69" s="3"/>
      <c r="H69" s="3"/>
      <c r="I69" s="3" t="s">
        <v>7043</v>
      </c>
      <c r="J69" s="3"/>
      <c r="K69" s="3"/>
      <c r="L69" s="5"/>
    </row>
    <row r="70" spans="1:12" ht="28.8" x14ac:dyDescent="0.55000000000000004">
      <c r="A70" s="9" t="str">
        <f>HYPERLINK("PDF\FOIA-FWS-2020-00724-0000069.pdf","FOIA-FWS-2020-00724-0000069")</f>
        <v>FOIA-FWS-2020-00724-0000069</v>
      </c>
      <c r="B70" s="3" t="s">
        <v>143</v>
      </c>
      <c r="C70" s="3" t="s">
        <v>3</v>
      </c>
      <c r="D70" s="3" t="s">
        <v>4</v>
      </c>
      <c r="E70" s="3" t="s">
        <v>144</v>
      </c>
      <c r="F70" s="4">
        <v>40909</v>
      </c>
      <c r="G70" s="3"/>
      <c r="H70" s="3"/>
      <c r="I70" s="3" t="s">
        <v>7043</v>
      </c>
      <c r="J70" s="3"/>
      <c r="K70" s="3"/>
      <c r="L70" s="5"/>
    </row>
    <row r="71" spans="1:12" ht="28.8" x14ac:dyDescent="0.55000000000000004">
      <c r="A71" s="9" t="str">
        <f>HYPERLINK("PDF\FOIA-FWS-2020-00724-0000070.pdf","FOIA-FWS-2020-00724-0000070")</f>
        <v>FOIA-FWS-2020-00724-0000070</v>
      </c>
      <c r="B71" s="3" t="s">
        <v>145</v>
      </c>
      <c r="C71" s="3" t="s">
        <v>3</v>
      </c>
      <c r="D71" s="3" t="s">
        <v>4</v>
      </c>
      <c r="E71" s="3" t="s">
        <v>146</v>
      </c>
      <c r="F71" s="4">
        <v>40909</v>
      </c>
      <c r="G71" s="3"/>
      <c r="H71" s="3"/>
      <c r="I71" s="3" t="s">
        <v>7043</v>
      </c>
      <c r="J71" s="3"/>
      <c r="K71" s="3"/>
      <c r="L71" s="5"/>
    </row>
    <row r="72" spans="1:12" ht="43.2" x14ac:dyDescent="0.55000000000000004">
      <c r="A72" s="9" t="str">
        <f>HYPERLINK("PDF\FOIA-FWS-2020-00724-0000071.pdf","FOIA-FWS-2020-00724-0000071")</f>
        <v>FOIA-FWS-2020-00724-0000071</v>
      </c>
      <c r="B72" s="3" t="s">
        <v>147</v>
      </c>
      <c r="C72" s="3" t="s">
        <v>3</v>
      </c>
      <c r="D72" s="3" t="s">
        <v>4</v>
      </c>
      <c r="E72" s="3" t="s">
        <v>148</v>
      </c>
      <c r="F72" s="4">
        <v>40909</v>
      </c>
      <c r="G72" s="3"/>
      <c r="H72" s="3"/>
      <c r="I72" s="3" t="s">
        <v>7043</v>
      </c>
      <c r="J72" s="3"/>
      <c r="K72" s="3"/>
      <c r="L72" s="5"/>
    </row>
    <row r="73" spans="1:12" ht="28.8" x14ac:dyDescent="0.55000000000000004">
      <c r="A73" s="9" t="str">
        <f>HYPERLINK("PDF\FOIA-FWS-2020-00724-0000072.pdf","FOIA-FWS-2020-00724-0000072")</f>
        <v>FOIA-FWS-2020-00724-0000072</v>
      </c>
      <c r="B73" s="3" t="s">
        <v>149</v>
      </c>
      <c r="C73" s="3" t="s">
        <v>3</v>
      </c>
      <c r="D73" s="3" t="s">
        <v>4</v>
      </c>
      <c r="E73" s="3" t="s">
        <v>150</v>
      </c>
      <c r="F73" s="4">
        <v>40915</v>
      </c>
      <c r="G73" s="3"/>
      <c r="H73" s="3"/>
      <c r="I73" s="3" t="s">
        <v>7043</v>
      </c>
      <c r="J73" s="3"/>
      <c r="K73" s="3"/>
      <c r="L73" s="5"/>
    </row>
    <row r="74" spans="1:12" ht="28.8" x14ac:dyDescent="0.55000000000000004">
      <c r="A74" s="9" t="str">
        <f>HYPERLINK("PDF\FOIA-FWS-2020-00724-0000073.pdf","FOIA-FWS-2020-00724-0000073")</f>
        <v>FOIA-FWS-2020-00724-0000073</v>
      </c>
      <c r="B74" s="3" t="s">
        <v>151</v>
      </c>
      <c r="C74" s="3" t="s">
        <v>3</v>
      </c>
      <c r="D74" s="3" t="s">
        <v>4</v>
      </c>
      <c r="E74" s="3" t="s">
        <v>152</v>
      </c>
      <c r="F74" s="4">
        <v>40992</v>
      </c>
      <c r="G74" s="3"/>
      <c r="H74" s="3"/>
      <c r="I74" s="3" t="s">
        <v>7043</v>
      </c>
      <c r="J74" s="3"/>
      <c r="K74" s="3"/>
      <c r="L74" s="5"/>
    </row>
    <row r="75" spans="1:12" ht="43.2" x14ac:dyDescent="0.55000000000000004">
      <c r="A75" s="9" t="str">
        <f>HYPERLINK("PDF\FOIA-FWS-2020-00724-0000074.pdf","FOIA-FWS-2020-00724-0000074")</f>
        <v>FOIA-FWS-2020-00724-0000074</v>
      </c>
      <c r="B75" s="3" t="s">
        <v>153</v>
      </c>
      <c r="C75" s="3" t="s">
        <v>3</v>
      </c>
      <c r="D75" s="3" t="s">
        <v>4</v>
      </c>
      <c r="E75" s="3" t="s">
        <v>154</v>
      </c>
      <c r="F75" s="4">
        <v>40998</v>
      </c>
      <c r="G75" s="3"/>
      <c r="H75" s="3"/>
      <c r="I75" s="3" t="s">
        <v>7043</v>
      </c>
      <c r="J75" s="3"/>
      <c r="K75" s="3"/>
      <c r="L75" s="5"/>
    </row>
    <row r="76" spans="1:12" ht="28.8" x14ac:dyDescent="0.55000000000000004">
      <c r="A76" s="9" t="str">
        <f>HYPERLINK("PDF\FOIA-FWS-2020-00724-0000075.pdf","FOIA-FWS-2020-00724-0000075")</f>
        <v>FOIA-FWS-2020-00724-0000075</v>
      </c>
      <c r="B76" s="3" t="s">
        <v>155</v>
      </c>
      <c r="C76" s="3" t="s">
        <v>3</v>
      </c>
      <c r="D76" s="3" t="s">
        <v>4</v>
      </c>
      <c r="E76" s="3" t="s">
        <v>156</v>
      </c>
      <c r="F76" s="4">
        <v>41004</v>
      </c>
      <c r="G76" s="3"/>
      <c r="H76" s="3"/>
      <c r="I76" s="3" t="s">
        <v>7043</v>
      </c>
      <c r="J76" s="3"/>
      <c r="K76" s="3"/>
      <c r="L76" s="5"/>
    </row>
    <row r="77" spans="1:12" ht="28.8" x14ac:dyDescent="0.55000000000000004">
      <c r="A77" s="9" t="str">
        <f>HYPERLINK("PDF\FOIA-FWS-2020-00724-0000076.pdf","FOIA-FWS-2020-00724-0000076")</f>
        <v>FOIA-FWS-2020-00724-0000076</v>
      </c>
      <c r="B77" s="3" t="s">
        <v>157</v>
      </c>
      <c r="C77" s="3" t="s">
        <v>3</v>
      </c>
      <c r="D77" s="3" t="s">
        <v>4</v>
      </c>
      <c r="E77" s="3" t="s">
        <v>158</v>
      </c>
      <c r="F77" s="4">
        <v>41103</v>
      </c>
      <c r="G77" s="3"/>
      <c r="H77" s="3"/>
      <c r="I77" s="3" t="s">
        <v>7043</v>
      </c>
      <c r="J77" s="3"/>
      <c r="K77" s="3"/>
      <c r="L77" s="5"/>
    </row>
    <row r="78" spans="1:12" ht="28.8" x14ac:dyDescent="0.55000000000000004">
      <c r="A78" s="9" t="str">
        <f>HYPERLINK("PDF\FOIA-FWS-2020-00724-0000077.pdf","FOIA-FWS-2020-00724-0000077")</f>
        <v>FOIA-FWS-2020-00724-0000077</v>
      </c>
      <c r="B78" s="3" t="s">
        <v>159</v>
      </c>
      <c r="C78" s="3"/>
      <c r="D78" s="3" t="s">
        <v>160</v>
      </c>
      <c r="E78" s="3" t="s">
        <v>161</v>
      </c>
      <c r="F78" s="4">
        <v>41176</v>
      </c>
      <c r="G78" s="3"/>
      <c r="H78" s="3"/>
      <c r="I78" s="3" t="s">
        <v>7043</v>
      </c>
      <c r="J78" s="3"/>
      <c r="K78" s="3"/>
      <c r="L78" s="5" t="str">
        <f>HYPERLINK("NATIVE_FILES\FOIA-FWS-2020-00724-0000077.zip","FOIA-FWS-2020-00724-0000077.zip")</f>
        <v>FOIA-FWS-2020-00724-0000077.zip</v>
      </c>
    </row>
    <row r="79" spans="1:12" ht="28.8" x14ac:dyDescent="0.55000000000000004">
      <c r="A79" s="9" t="str">
        <f>HYPERLINK("PDF\FOIA-FWS-2020-00724-0000078.pdf","FOIA-FWS-2020-00724-0000078")</f>
        <v>FOIA-FWS-2020-00724-0000078</v>
      </c>
      <c r="B79" s="3" t="s">
        <v>162</v>
      </c>
      <c r="C79" s="3" t="s">
        <v>3</v>
      </c>
      <c r="D79" s="3" t="s">
        <v>4</v>
      </c>
      <c r="E79" s="3" t="s">
        <v>163</v>
      </c>
      <c r="F79" s="4">
        <v>41183</v>
      </c>
      <c r="G79" s="3"/>
      <c r="H79" s="3"/>
      <c r="I79" s="3" t="s">
        <v>7043</v>
      </c>
      <c r="J79" s="3"/>
      <c r="K79" s="3"/>
      <c r="L79" s="5"/>
    </row>
    <row r="80" spans="1:12" ht="28.8" x14ac:dyDescent="0.55000000000000004">
      <c r="A80" s="9" t="str">
        <f>HYPERLINK("PDF\FOIA-FWS-2020-00724-0000079.pdf","FOIA-FWS-2020-00724-0000079")</f>
        <v>FOIA-FWS-2020-00724-0000079</v>
      </c>
      <c r="B80" s="3" t="s">
        <v>164</v>
      </c>
      <c r="C80" s="3" t="s">
        <v>3</v>
      </c>
      <c r="D80" s="3" t="s">
        <v>38</v>
      </c>
      <c r="E80" s="3" t="s">
        <v>165</v>
      </c>
      <c r="F80" s="4">
        <v>41275</v>
      </c>
      <c r="G80" s="3"/>
      <c r="H80" s="3"/>
      <c r="I80" s="3" t="s">
        <v>7043</v>
      </c>
      <c r="J80" s="3"/>
      <c r="K80" s="3"/>
      <c r="L80" s="5"/>
    </row>
    <row r="81" spans="1:12" ht="28.8" x14ac:dyDescent="0.55000000000000004">
      <c r="A81" s="9" t="str">
        <f>HYPERLINK("PDF\FOIA-FWS-2020-00724-0000080.pdf","FOIA-FWS-2020-00724-0000080")</f>
        <v>FOIA-FWS-2020-00724-0000080</v>
      </c>
      <c r="B81" s="3" t="s">
        <v>166</v>
      </c>
      <c r="C81" s="3" t="s">
        <v>3</v>
      </c>
      <c r="D81" s="3" t="s">
        <v>38</v>
      </c>
      <c r="E81" s="3" t="s">
        <v>167</v>
      </c>
      <c r="F81" s="4">
        <v>41275</v>
      </c>
      <c r="G81" s="3"/>
      <c r="H81" s="3"/>
      <c r="I81" s="3" t="s">
        <v>7043</v>
      </c>
      <c r="J81" s="3"/>
      <c r="K81" s="3"/>
      <c r="L81" s="5"/>
    </row>
    <row r="82" spans="1:12" ht="28.8" x14ac:dyDescent="0.55000000000000004">
      <c r="A82" s="9" t="str">
        <f>HYPERLINK("PDF\FOIA-FWS-2020-00724-0000081.pdf","FOIA-FWS-2020-00724-0000081")</f>
        <v>FOIA-FWS-2020-00724-0000081</v>
      </c>
      <c r="B82" s="3" t="s">
        <v>168</v>
      </c>
      <c r="C82" s="3" t="s">
        <v>3</v>
      </c>
      <c r="D82" s="3" t="s">
        <v>4</v>
      </c>
      <c r="E82" s="3" t="s">
        <v>169</v>
      </c>
      <c r="F82" s="4">
        <v>41275</v>
      </c>
      <c r="G82" s="3"/>
      <c r="H82" s="3"/>
      <c r="I82" s="3" t="s">
        <v>7043</v>
      </c>
      <c r="J82" s="3"/>
      <c r="K82" s="3"/>
      <c r="L82" s="5"/>
    </row>
    <row r="83" spans="1:12" ht="28.8" x14ac:dyDescent="0.55000000000000004">
      <c r="A83" s="9" t="str">
        <f>HYPERLINK("PDF\FOIA-FWS-2020-00724-0000082.pdf","FOIA-FWS-2020-00724-0000082")</f>
        <v>FOIA-FWS-2020-00724-0000082</v>
      </c>
      <c r="B83" s="3" t="s">
        <v>170</v>
      </c>
      <c r="C83" s="3" t="s">
        <v>3</v>
      </c>
      <c r="D83" s="3" t="s">
        <v>4</v>
      </c>
      <c r="E83" s="3" t="s">
        <v>171</v>
      </c>
      <c r="F83" s="4">
        <v>41275</v>
      </c>
      <c r="G83" s="3"/>
      <c r="H83" s="3"/>
      <c r="I83" s="3" t="s">
        <v>7043</v>
      </c>
      <c r="J83" s="3"/>
      <c r="K83" s="3"/>
      <c r="L83" s="5"/>
    </row>
    <row r="84" spans="1:12" ht="28.8" x14ac:dyDescent="0.55000000000000004">
      <c r="A84" s="9" t="str">
        <f>HYPERLINK("PDF\FOIA-FWS-2020-00724-0000083.pdf","FOIA-FWS-2020-00724-0000083")</f>
        <v>FOIA-FWS-2020-00724-0000083</v>
      </c>
      <c r="B84" s="3" t="s">
        <v>172</v>
      </c>
      <c r="C84" s="3" t="s">
        <v>3</v>
      </c>
      <c r="D84" s="3" t="s">
        <v>4</v>
      </c>
      <c r="E84" s="3" t="s">
        <v>173</v>
      </c>
      <c r="F84" s="4">
        <v>41275</v>
      </c>
      <c r="G84" s="3"/>
      <c r="H84" s="3"/>
      <c r="I84" s="3" t="s">
        <v>7043</v>
      </c>
      <c r="J84" s="3"/>
      <c r="K84" s="3"/>
      <c r="L84" s="5"/>
    </row>
    <row r="85" spans="1:12" ht="28.8" x14ac:dyDescent="0.55000000000000004">
      <c r="A85" s="9" t="str">
        <f>HYPERLINK("PDF\FOIA-FWS-2020-00724-0000084.pdf","FOIA-FWS-2020-00724-0000084")</f>
        <v>FOIA-FWS-2020-00724-0000084</v>
      </c>
      <c r="B85" s="3" t="s">
        <v>174</v>
      </c>
      <c r="C85" s="3" t="s">
        <v>3</v>
      </c>
      <c r="D85" s="3" t="s">
        <v>4</v>
      </c>
      <c r="E85" s="3" t="s">
        <v>175</v>
      </c>
      <c r="F85" s="4">
        <v>41275</v>
      </c>
      <c r="G85" s="3"/>
      <c r="H85" s="3"/>
      <c r="I85" s="3" t="s">
        <v>7043</v>
      </c>
      <c r="J85" s="3"/>
      <c r="K85" s="3"/>
      <c r="L85" s="5"/>
    </row>
    <row r="86" spans="1:12" ht="28.8" x14ac:dyDescent="0.55000000000000004">
      <c r="A86" s="9" t="str">
        <f>HYPERLINK("PDF\FOIA-FWS-2020-00724-0000085.pdf","FOIA-FWS-2020-00724-0000085")</f>
        <v>FOIA-FWS-2020-00724-0000085</v>
      </c>
      <c r="B86" s="3" t="s">
        <v>176</v>
      </c>
      <c r="C86" s="3" t="s">
        <v>3</v>
      </c>
      <c r="D86" s="3" t="s">
        <v>4</v>
      </c>
      <c r="E86" s="3" t="s">
        <v>177</v>
      </c>
      <c r="F86" s="4">
        <v>41275</v>
      </c>
      <c r="G86" s="3"/>
      <c r="H86" s="3"/>
      <c r="I86" s="3" t="s">
        <v>7043</v>
      </c>
      <c r="J86" s="3"/>
      <c r="K86" s="3"/>
      <c r="L86" s="5"/>
    </row>
    <row r="87" spans="1:12" ht="28.8" x14ac:dyDescent="0.55000000000000004">
      <c r="A87" s="9" t="str">
        <f>HYPERLINK("PDF\FOIA-FWS-2020-00724-0000086.pdf","FOIA-FWS-2020-00724-0000086")</f>
        <v>FOIA-FWS-2020-00724-0000086</v>
      </c>
      <c r="B87" s="3" t="s">
        <v>178</v>
      </c>
      <c r="C87" s="3" t="s">
        <v>3</v>
      </c>
      <c r="D87" s="3" t="s">
        <v>4</v>
      </c>
      <c r="E87" s="3" t="s">
        <v>179</v>
      </c>
      <c r="F87" s="4">
        <v>41362</v>
      </c>
      <c r="G87" s="3"/>
      <c r="H87" s="3"/>
      <c r="I87" s="3" t="s">
        <v>7043</v>
      </c>
      <c r="J87" s="3"/>
      <c r="K87" s="3"/>
      <c r="L87" s="5"/>
    </row>
    <row r="88" spans="1:12" ht="43.2" x14ac:dyDescent="0.55000000000000004">
      <c r="A88" s="9" t="str">
        <f>HYPERLINK("PDF\FOIA-FWS-2020-00724-0000087.pdf","FOIA-FWS-2020-00724-0000087")</f>
        <v>FOIA-FWS-2020-00724-0000087</v>
      </c>
      <c r="B88" s="3" t="s">
        <v>180</v>
      </c>
      <c r="C88" s="3" t="s">
        <v>3</v>
      </c>
      <c r="D88" s="3" t="s">
        <v>33</v>
      </c>
      <c r="E88" s="3" t="s">
        <v>183</v>
      </c>
      <c r="F88" s="4">
        <v>41374</v>
      </c>
      <c r="G88" s="3" t="s">
        <v>181</v>
      </c>
      <c r="H88" s="3" t="s">
        <v>182</v>
      </c>
      <c r="I88" s="3" t="s">
        <v>7044</v>
      </c>
      <c r="J88" s="3" t="s">
        <v>7046</v>
      </c>
      <c r="K88" s="3" t="s">
        <v>7036</v>
      </c>
      <c r="L88" s="5"/>
    </row>
    <row r="89" spans="1:12" ht="28.8" x14ac:dyDescent="0.55000000000000004">
      <c r="A89" s="9" t="str">
        <f>HYPERLINK("PDF\FOIA-FWS-2020-00724-0000088.pdf","FOIA-FWS-2020-00724-0000088")</f>
        <v>FOIA-FWS-2020-00724-0000088</v>
      </c>
      <c r="B89" s="3" t="s">
        <v>184</v>
      </c>
      <c r="C89" s="3" t="s">
        <v>3</v>
      </c>
      <c r="D89" s="3" t="s">
        <v>38</v>
      </c>
      <c r="E89" s="3" t="s">
        <v>185</v>
      </c>
      <c r="F89" s="4">
        <v>41395</v>
      </c>
      <c r="G89" s="3"/>
      <c r="H89" s="3"/>
      <c r="I89" s="3" t="s">
        <v>7043</v>
      </c>
      <c r="J89" s="3"/>
      <c r="K89" s="3"/>
      <c r="L89" s="5"/>
    </row>
    <row r="90" spans="1:12" ht="28.8" x14ac:dyDescent="0.55000000000000004">
      <c r="A90" s="9" t="str">
        <f>HYPERLINK("PDF\FOIA-FWS-2020-00724-0000089.pdf","FOIA-FWS-2020-00724-0000089")</f>
        <v>FOIA-FWS-2020-00724-0000089</v>
      </c>
      <c r="B90" s="3" t="s">
        <v>186</v>
      </c>
      <c r="C90" s="3" t="s">
        <v>3</v>
      </c>
      <c r="D90" s="3" t="s">
        <v>4</v>
      </c>
      <c r="E90" s="3" t="s">
        <v>187</v>
      </c>
      <c r="F90" s="4">
        <v>41395</v>
      </c>
      <c r="G90" s="3"/>
      <c r="H90" s="3"/>
      <c r="I90" s="3" t="s">
        <v>7043</v>
      </c>
      <c r="J90" s="3"/>
      <c r="K90" s="3"/>
      <c r="L90" s="5"/>
    </row>
    <row r="91" spans="1:12" ht="28.8" x14ac:dyDescent="0.55000000000000004">
      <c r="A91" s="9" t="str">
        <f>HYPERLINK("PDF\FOIA-FWS-2020-00724-0000090.pdf","FOIA-FWS-2020-00724-0000090")</f>
        <v>FOIA-FWS-2020-00724-0000090</v>
      </c>
      <c r="B91" s="3" t="s">
        <v>188</v>
      </c>
      <c r="C91" s="3" t="s">
        <v>3</v>
      </c>
      <c r="D91" s="3" t="s">
        <v>4</v>
      </c>
      <c r="E91" s="3" t="s">
        <v>189</v>
      </c>
      <c r="F91" s="4">
        <v>41411</v>
      </c>
      <c r="G91" s="3"/>
      <c r="H91" s="3"/>
      <c r="I91" s="3" t="s">
        <v>7043</v>
      </c>
      <c r="J91" s="3"/>
      <c r="K91" s="3"/>
      <c r="L91" s="5"/>
    </row>
    <row r="92" spans="1:12" ht="28.8" x14ac:dyDescent="0.55000000000000004">
      <c r="A92" s="9" t="str">
        <f>HYPERLINK("PDF\FOIA-FWS-2020-00724-0000091.pdf","FOIA-FWS-2020-00724-0000091")</f>
        <v>FOIA-FWS-2020-00724-0000091</v>
      </c>
      <c r="B92" s="3" t="s">
        <v>190</v>
      </c>
      <c r="C92" s="3" t="s">
        <v>3</v>
      </c>
      <c r="D92" s="3" t="s">
        <v>33</v>
      </c>
      <c r="E92" s="3" t="s">
        <v>193</v>
      </c>
      <c r="F92" s="4">
        <v>41411</v>
      </c>
      <c r="G92" s="3" t="s">
        <v>191</v>
      </c>
      <c r="H92" s="3" t="s">
        <v>192</v>
      </c>
      <c r="I92" s="3" t="s">
        <v>7043</v>
      </c>
      <c r="J92" s="3"/>
      <c r="K92" s="3"/>
      <c r="L92" s="5"/>
    </row>
    <row r="93" spans="1:12" ht="28.8" x14ac:dyDescent="0.55000000000000004">
      <c r="A93" s="9" t="str">
        <f>HYPERLINK("PDF\FOIA-FWS-2020-00724-0000092.pdf","FOIA-FWS-2020-00724-0000092")</f>
        <v>FOIA-FWS-2020-00724-0000092</v>
      </c>
      <c r="B93" s="3" t="s">
        <v>194</v>
      </c>
      <c r="C93" s="3" t="s">
        <v>3</v>
      </c>
      <c r="D93" s="3" t="s">
        <v>4</v>
      </c>
      <c r="E93" s="3" t="s">
        <v>195</v>
      </c>
      <c r="F93" s="4">
        <v>41426</v>
      </c>
      <c r="G93" s="3"/>
      <c r="H93" s="3"/>
      <c r="I93" s="3" t="s">
        <v>7043</v>
      </c>
      <c r="J93" s="3"/>
      <c r="K93" s="3"/>
      <c r="L93" s="5"/>
    </row>
    <row r="94" spans="1:12" ht="28.8" x14ac:dyDescent="0.55000000000000004">
      <c r="A94" s="9" t="str">
        <f>HYPERLINK("PDF\FOIA-FWS-2020-00724-0000093.pdf","FOIA-FWS-2020-00724-0000093")</f>
        <v>FOIA-FWS-2020-00724-0000093</v>
      </c>
      <c r="B94" s="3" t="s">
        <v>196</v>
      </c>
      <c r="C94" s="3" t="s">
        <v>3</v>
      </c>
      <c r="D94" s="3" t="s">
        <v>4</v>
      </c>
      <c r="E94" s="3" t="s">
        <v>197</v>
      </c>
      <c r="F94" s="4">
        <v>41487</v>
      </c>
      <c r="G94" s="3"/>
      <c r="H94" s="3"/>
      <c r="I94" s="3" t="s">
        <v>7043</v>
      </c>
      <c r="J94" s="3"/>
      <c r="K94" s="3"/>
      <c r="L94" s="5"/>
    </row>
    <row r="95" spans="1:12" ht="72" x14ac:dyDescent="0.55000000000000004">
      <c r="A95" s="9" t="str">
        <f>HYPERLINK("PDF\FOIA-FWS-2020-00724-0000094.pdf","FOIA-FWS-2020-00724-0000094")</f>
        <v>FOIA-FWS-2020-00724-0000094</v>
      </c>
      <c r="B95" s="3" t="s">
        <v>198</v>
      </c>
      <c r="C95" s="3" t="s">
        <v>3</v>
      </c>
      <c r="D95" s="3" t="s">
        <v>33</v>
      </c>
      <c r="E95" s="3" t="s">
        <v>201</v>
      </c>
      <c r="F95" s="4">
        <v>41591</v>
      </c>
      <c r="G95" s="3" t="s">
        <v>199</v>
      </c>
      <c r="H95" s="3" t="s">
        <v>200</v>
      </c>
      <c r="I95" s="3" t="s">
        <v>7043</v>
      </c>
      <c r="J95" s="3"/>
      <c r="K95" s="3"/>
      <c r="L95" s="5"/>
    </row>
    <row r="96" spans="1:12" ht="28.8" x14ac:dyDescent="0.55000000000000004">
      <c r="A96" s="9" t="str">
        <f>HYPERLINK("PDF\FOIA-FWS-2020-00724-0000095.pdf","FOIA-FWS-2020-00724-0000095")</f>
        <v>FOIA-FWS-2020-00724-0000095</v>
      </c>
      <c r="B96" s="3" t="s">
        <v>202</v>
      </c>
      <c r="C96" s="3" t="s">
        <v>3</v>
      </c>
      <c r="D96" s="3" t="s">
        <v>4</v>
      </c>
      <c r="E96" s="3" t="s">
        <v>203</v>
      </c>
      <c r="F96" s="4">
        <v>41598</v>
      </c>
      <c r="G96" s="3"/>
      <c r="H96" s="3"/>
      <c r="I96" s="3" t="s">
        <v>7043</v>
      </c>
      <c r="J96" s="3"/>
      <c r="K96" s="3"/>
      <c r="L96" s="5"/>
    </row>
    <row r="97" spans="1:12" ht="28.8" x14ac:dyDescent="0.55000000000000004">
      <c r="A97" s="9" t="str">
        <f>HYPERLINK("PDF\FOIA-FWS-2020-00724-0000096.pdf","FOIA-FWS-2020-00724-0000096")</f>
        <v>FOIA-FWS-2020-00724-0000096</v>
      </c>
      <c r="B97" s="3" t="s">
        <v>204</v>
      </c>
      <c r="C97" s="3" t="s">
        <v>3</v>
      </c>
      <c r="D97" s="3" t="s">
        <v>4</v>
      </c>
      <c r="E97" s="3" t="s">
        <v>205</v>
      </c>
      <c r="F97" s="4">
        <v>41609</v>
      </c>
      <c r="G97" s="3"/>
      <c r="H97" s="3"/>
      <c r="I97" s="3" t="s">
        <v>7043</v>
      </c>
      <c r="J97" s="3"/>
      <c r="K97" s="3"/>
      <c r="L97" s="5"/>
    </row>
    <row r="98" spans="1:12" ht="28.8" x14ac:dyDescent="0.55000000000000004">
      <c r="A98" s="9" t="str">
        <f>HYPERLINK("PDF\FOIA-FWS-2020-00724-0000097.pdf","FOIA-FWS-2020-00724-0000097")</f>
        <v>FOIA-FWS-2020-00724-0000097</v>
      </c>
      <c r="B98" s="3" t="s">
        <v>206</v>
      </c>
      <c r="C98" s="3" t="s">
        <v>3</v>
      </c>
      <c r="D98" s="3" t="s">
        <v>38</v>
      </c>
      <c r="E98" s="3" t="s">
        <v>207</v>
      </c>
      <c r="F98" s="4">
        <v>41640</v>
      </c>
      <c r="G98" s="3"/>
      <c r="H98" s="3"/>
      <c r="I98" s="3" t="s">
        <v>7043</v>
      </c>
      <c r="J98" s="3"/>
      <c r="K98" s="3"/>
      <c r="L98" s="5"/>
    </row>
    <row r="99" spans="1:12" ht="28.8" x14ac:dyDescent="0.55000000000000004">
      <c r="A99" s="9" t="str">
        <f>HYPERLINK("PDF\FOIA-FWS-2020-00724-0000098.pdf","FOIA-FWS-2020-00724-0000098")</f>
        <v>FOIA-FWS-2020-00724-0000098</v>
      </c>
      <c r="B99" s="3" t="s">
        <v>208</v>
      </c>
      <c r="C99" s="3" t="s">
        <v>3</v>
      </c>
      <c r="D99" s="3" t="s">
        <v>4</v>
      </c>
      <c r="E99" s="3" t="s">
        <v>209</v>
      </c>
      <c r="F99" s="4">
        <v>41640</v>
      </c>
      <c r="G99" s="3"/>
      <c r="H99" s="3"/>
      <c r="I99" s="3" t="s">
        <v>7043</v>
      </c>
      <c r="J99" s="3"/>
      <c r="K99" s="3"/>
      <c r="L99" s="5"/>
    </row>
    <row r="100" spans="1:12" ht="28.8" x14ac:dyDescent="0.55000000000000004">
      <c r="A100" s="9" t="str">
        <f>HYPERLINK("PDF\FOIA-FWS-2020-00724-0000099.pdf","FOIA-FWS-2020-00724-0000099")</f>
        <v>FOIA-FWS-2020-00724-0000099</v>
      </c>
      <c r="B100" s="3" t="s">
        <v>210</v>
      </c>
      <c r="C100" s="3" t="s">
        <v>3</v>
      </c>
      <c r="D100" s="3" t="s">
        <v>33</v>
      </c>
      <c r="E100" s="3" t="s">
        <v>211</v>
      </c>
      <c r="F100" s="4">
        <v>41640</v>
      </c>
      <c r="G100" s="3"/>
      <c r="H100" s="3"/>
      <c r="I100" s="3" t="s">
        <v>7043</v>
      </c>
      <c r="J100" s="3"/>
      <c r="K100" s="3"/>
      <c r="L100" s="5"/>
    </row>
    <row r="101" spans="1:12" ht="28.8" x14ac:dyDescent="0.55000000000000004">
      <c r="A101" s="9" t="str">
        <f>HYPERLINK("PDF\FOIA-FWS-2020-00724-0000100.pdf","FOIA-FWS-2020-00724-0000100")</f>
        <v>FOIA-FWS-2020-00724-0000100</v>
      </c>
      <c r="B101" s="3" t="s">
        <v>212</v>
      </c>
      <c r="C101" s="3" t="s">
        <v>3</v>
      </c>
      <c r="D101" s="3" t="s">
        <v>4</v>
      </c>
      <c r="E101" s="3" t="s">
        <v>213</v>
      </c>
      <c r="F101" s="4">
        <v>41640</v>
      </c>
      <c r="G101" s="3"/>
      <c r="H101" s="3"/>
      <c r="I101" s="3" t="s">
        <v>7043</v>
      </c>
      <c r="J101" s="3"/>
      <c r="K101" s="3"/>
      <c r="L101" s="5"/>
    </row>
    <row r="102" spans="1:12" ht="28.8" x14ac:dyDescent="0.55000000000000004">
      <c r="A102" s="9" t="str">
        <f>HYPERLINK("PDF\FOIA-FWS-2020-00724-0000101.pdf","FOIA-FWS-2020-00724-0000101")</f>
        <v>FOIA-FWS-2020-00724-0000101</v>
      </c>
      <c r="B102" s="3" t="s">
        <v>214</v>
      </c>
      <c r="C102" s="3" t="s">
        <v>3</v>
      </c>
      <c r="D102" s="3" t="s">
        <v>4</v>
      </c>
      <c r="E102" s="3" t="s">
        <v>215</v>
      </c>
      <c r="F102" s="4">
        <v>41640</v>
      </c>
      <c r="G102" s="3"/>
      <c r="H102" s="3"/>
      <c r="I102" s="3" t="s">
        <v>7043</v>
      </c>
      <c r="J102" s="3"/>
      <c r="K102" s="3"/>
      <c r="L102" s="5"/>
    </row>
    <row r="103" spans="1:12" ht="28.8" x14ac:dyDescent="0.55000000000000004">
      <c r="A103" s="9" t="str">
        <f>HYPERLINK("PDF\FOIA-FWS-2020-00724-0000102.pdf","FOIA-FWS-2020-00724-0000102")</f>
        <v>FOIA-FWS-2020-00724-0000102</v>
      </c>
      <c r="B103" s="3" t="s">
        <v>216</v>
      </c>
      <c r="C103" s="3" t="s">
        <v>3</v>
      </c>
      <c r="D103" s="3" t="s">
        <v>4</v>
      </c>
      <c r="E103" s="3" t="s">
        <v>217</v>
      </c>
      <c r="F103" s="4">
        <v>41640</v>
      </c>
      <c r="G103" s="3"/>
      <c r="H103" s="3"/>
      <c r="I103" s="3" t="s">
        <v>7043</v>
      </c>
      <c r="J103" s="3"/>
      <c r="K103" s="3"/>
      <c r="L103" s="5"/>
    </row>
    <row r="104" spans="1:12" ht="28.8" x14ac:dyDescent="0.55000000000000004">
      <c r="A104" s="9" t="str">
        <f>HYPERLINK("PDF\FOIA-FWS-2020-00724-0000103.pdf","FOIA-FWS-2020-00724-0000103")</f>
        <v>FOIA-FWS-2020-00724-0000103</v>
      </c>
      <c r="B104" s="3" t="s">
        <v>218</v>
      </c>
      <c r="C104" s="3" t="s">
        <v>3</v>
      </c>
      <c r="D104" s="3" t="s">
        <v>4</v>
      </c>
      <c r="E104" s="3" t="s">
        <v>219</v>
      </c>
      <c r="F104" s="4">
        <v>41640</v>
      </c>
      <c r="G104" s="3"/>
      <c r="H104" s="3"/>
      <c r="I104" s="3" t="s">
        <v>7043</v>
      </c>
      <c r="J104" s="3"/>
      <c r="K104" s="3"/>
      <c r="L104" s="5"/>
    </row>
    <row r="105" spans="1:12" ht="28.8" x14ac:dyDescent="0.55000000000000004">
      <c r="A105" s="9" t="str">
        <f>HYPERLINK("PDF\FOIA-FWS-2020-00724-0000104.pdf","FOIA-FWS-2020-00724-0000104")</f>
        <v>FOIA-FWS-2020-00724-0000104</v>
      </c>
      <c r="B105" s="3" t="s">
        <v>220</v>
      </c>
      <c r="C105" s="3" t="s">
        <v>3</v>
      </c>
      <c r="D105" s="3" t="s">
        <v>4</v>
      </c>
      <c r="E105" s="3" t="s">
        <v>221</v>
      </c>
      <c r="F105" s="4">
        <v>41640</v>
      </c>
      <c r="G105" s="3"/>
      <c r="H105" s="3"/>
      <c r="I105" s="3" t="s">
        <v>7043</v>
      </c>
      <c r="J105" s="3"/>
      <c r="K105" s="3"/>
      <c r="L105" s="5"/>
    </row>
    <row r="106" spans="1:12" ht="28.8" x14ac:dyDescent="0.55000000000000004">
      <c r="A106" s="9" t="str">
        <f>HYPERLINK("PDF\FOIA-FWS-2020-00724-0000105.pdf","FOIA-FWS-2020-00724-0000105")</f>
        <v>FOIA-FWS-2020-00724-0000105</v>
      </c>
      <c r="B106" s="3" t="s">
        <v>222</v>
      </c>
      <c r="C106" s="3" t="s">
        <v>3</v>
      </c>
      <c r="D106" s="3" t="s">
        <v>4</v>
      </c>
      <c r="E106" s="3" t="s">
        <v>223</v>
      </c>
      <c r="F106" s="4">
        <v>41640</v>
      </c>
      <c r="G106" s="3"/>
      <c r="H106" s="3"/>
      <c r="I106" s="3" t="s">
        <v>7043</v>
      </c>
      <c r="J106" s="3"/>
      <c r="K106" s="3"/>
      <c r="L106" s="5"/>
    </row>
    <row r="107" spans="1:12" ht="28.8" x14ac:dyDescent="0.55000000000000004">
      <c r="A107" s="9" t="str">
        <f>HYPERLINK("PDF\FOIA-FWS-2020-00724-0000106.pdf","FOIA-FWS-2020-00724-0000106")</f>
        <v>FOIA-FWS-2020-00724-0000106</v>
      </c>
      <c r="B107" s="3" t="s">
        <v>224</v>
      </c>
      <c r="C107" s="3" t="s">
        <v>3</v>
      </c>
      <c r="D107" s="3" t="s">
        <v>4</v>
      </c>
      <c r="E107" s="3" t="s">
        <v>225</v>
      </c>
      <c r="F107" s="4">
        <v>41645</v>
      </c>
      <c r="G107" s="3"/>
      <c r="H107" s="3"/>
      <c r="I107" s="3" t="s">
        <v>7043</v>
      </c>
      <c r="J107" s="3"/>
      <c r="K107" s="3"/>
      <c r="L107" s="5"/>
    </row>
    <row r="108" spans="1:12" ht="28.8" x14ac:dyDescent="0.55000000000000004">
      <c r="A108" s="9" t="str">
        <f>HYPERLINK("PDF\FOIA-FWS-2020-00724-0000107.pdf","FOIA-FWS-2020-00724-0000107")</f>
        <v>FOIA-FWS-2020-00724-0000107</v>
      </c>
      <c r="B108" s="3" t="s">
        <v>226</v>
      </c>
      <c r="C108" s="3" t="s">
        <v>3</v>
      </c>
      <c r="D108" s="3" t="s">
        <v>4</v>
      </c>
      <c r="E108" s="3" t="s">
        <v>227</v>
      </c>
      <c r="F108" s="4">
        <v>41652</v>
      </c>
      <c r="G108" s="3"/>
      <c r="H108" s="3"/>
      <c r="I108" s="3" t="s">
        <v>7043</v>
      </c>
      <c r="J108" s="3"/>
      <c r="K108" s="3"/>
      <c r="L108" s="5"/>
    </row>
    <row r="109" spans="1:12" ht="28.8" x14ac:dyDescent="0.55000000000000004">
      <c r="A109" s="9" t="str">
        <f>HYPERLINK("PDF\FOIA-FWS-2020-00724-0000108.pdf","FOIA-FWS-2020-00724-0000108")</f>
        <v>FOIA-FWS-2020-00724-0000108</v>
      </c>
      <c r="B109" s="3" t="s">
        <v>228</v>
      </c>
      <c r="C109" s="3" t="s">
        <v>3</v>
      </c>
      <c r="D109" s="3" t="s">
        <v>4</v>
      </c>
      <c r="E109" s="3" t="s">
        <v>229</v>
      </c>
      <c r="F109" s="4">
        <v>41653</v>
      </c>
      <c r="G109" s="3"/>
      <c r="H109" s="3"/>
      <c r="I109" s="3" t="s">
        <v>7043</v>
      </c>
      <c r="J109" s="3"/>
      <c r="K109" s="3"/>
      <c r="L109" s="5"/>
    </row>
    <row r="110" spans="1:12" ht="28.8" x14ac:dyDescent="0.55000000000000004">
      <c r="A110" s="9" t="str">
        <f>HYPERLINK("PDF\FOIA-FWS-2020-00724-0000109.pdf","FOIA-FWS-2020-00724-0000109")</f>
        <v>FOIA-FWS-2020-00724-0000109</v>
      </c>
      <c r="B110" s="3" t="s">
        <v>230</v>
      </c>
      <c r="C110" s="3" t="s">
        <v>3</v>
      </c>
      <c r="D110" s="3" t="s">
        <v>33</v>
      </c>
      <c r="E110" s="3" t="s">
        <v>233</v>
      </c>
      <c r="F110" s="4">
        <v>41670</v>
      </c>
      <c r="G110" s="3" t="s">
        <v>231</v>
      </c>
      <c r="H110" s="3" t="s">
        <v>232</v>
      </c>
      <c r="I110" s="3" t="s">
        <v>7043</v>
      </c>
      <c r="J110" s="3"/>
      <c r="K110" s="3"/>
      <c r="L110" s="5"/>
    </row>
    <row r="111" spans="1:12" ht="28.8" x14ac:dyDescent="0.55000000000000004">
      <c r="A111" s="9" t="str">
        <f>HYPERLINK("PDF\FOIA-FWS-2020-00724-0000110.pdf","FOIA-FWS-2020-00724-0000110")</f>
        <v>FOIA-FWS-2020-00724-0000110</v>
      </c>
      <c r="B111" s="3" t="s">
        <v>230</v>
      </c>
      <c r="C111" s="3" t="s">
        <v>234</v>
      </c>
      <c r="D111" s="3" t="s">
        <v>33</v>
      </c>
      <c r="E111" s="3" t="s">
        <v>235</v>
      </c>
      <c r="F111" s="4">
        <v>41670</v>
      </c>
      <c r="G111" s="3"/>
      <c r="H111" s="3"/>
      <c r="I111" s="3" t="s">
        <v>7043</v>
      </c>
      <c r="J111" s="3"/>
      <c r="K111" s="3"/>
      <c r="L111" s="5"/>
    </row>
    <row r="112" spans="1:12" ht="28.8" x14ac:dyDescent="0.55000000000000004">
      <c r="A112" s="9" t="str">
        <f>HYPERLINK("PDF\FOIA-FWS-2020-00724-0000111.pdf","FOIA-FWS-2020-00724-0000111")</f>
        <v>FOIA-FWS-2020-00724-0000111</v>
      </c>
      <c r="B112" s="3" t="s">
        <v>230</v>
      </c>
      <c r="C112" s="3" t="s">
        <v>234</v>
      </c>
      <c r="D112" s="3" t="s">
        <v>33</v>
      </c>
      <c r="E112" s="3" t="s">
        <v>236</v>
      </c>
      <c r="F112" s="4">
        <v>41670</v>
      </c>
      <c r="G112" s="3"/>
      <c r="H112" s="3"/>
      <c r="I112" s="3" t="s">
        <v>7043</v>
      </c>
      <c r="J112" s="3"/>
      <c r="K112" s="3"/>
      <c r="L112" s="5"/>
    </row>
    <row r="113" spans="1:12" ht="28.8" x14ac:dyDescent="0.55000000000000004">
      <c r="A113" s="9" t="str">
        <f>HYPERLINK("PDF\FOIA-FWS-2020-00724-0000112.pdf","FOIA-FWS-2020-00724-0000112")</f>
        <v>FOIA-FWS-2020-00724-0000112</v>
      </c>
      <c r="B113" s="3" t="s">
        <v>230</v>
      </c>
      <c r="C113" s="3" t="s">
        <v>234</v>
      </c>
      <c r="D113" s="3" t="s">
        <v>33</v>
      </c>
      <c r="E113" s="3" t="s">
        <v>237</v>
      </c>
      <c r="F113" s="4">
        <v>41670</v>
      </c>
      <c r="G113" s="3"/>
      <c r="H113" s="3"/>
      <c r="I113" s="3" t="s">
        <v>7043</v>
      </c>
      <c r="J113" s="3"/>
      <c r="K113" s="3"/>
      <c r="L113" s="5"/>
    </row>
    <row r="114" spans="1:12" ht="28.8" x14ac:dyDescent="0.55000000000000004">
      <c r="A114" s="9" t="str">
        <f>HYPERLINK("PDF\FOIA-FWS-2020-00724-0000113.pdf","FOIA-FWS-2020-00724-0000113")</f>
        <v>FOIA-FWS-2020-00724-0000113</v>
      </c>
      <c r="B114" s="3" t="s">
        <v>230</v>
      </c>
      <c r="C114" s="3" t="s">
        <v>234</v>
      </c>
      <c r="D114" s="3" t="s">
        <v>33</v>
      </c>
      <c r="E114" s="3" t="s">
        <v>238</v>
      </c>
      <c r="F114" s="4">
        <v>41670</v>
      </c>
      <c r="G114" s="3"/>
      <c r="H114" s="3"/>
      <c r="I114" s="3" t="s">
        <v>7043</v>
      </c>
      <c r="J114" s="3"/>
      <c r="K114" s="3"/>
      <c r="L114" s="5"/>
    </row>
    <row r="115" spans="1:12" ht="28.8" x14ac:dyDescent="0.55000000000000004">
      <c r="A115" s="9" t="str">
        <f>HYPERLINK("PDF\FOIA-FWS-2020-00724-0000114.pdf","FOIA-FWS-2020-00724-0000114")</f>
        <v>FOIA-FWS-2020-00724-0000114</v>
      </c>
      <c r="B115" s="3" t="s">
        <v>230</v>
      </c>
      <c r="C115" s="3" t="s">
        <v>234</v>
      </c>
      <c r="D115" s="3" t="s">
        <v>33</v>
      </c>
      <c r="E115" s="3" t="s">
        <v>239</v>
      </c>
      <c r="F115" s="4">
        <v>41670</v>
      </c>
      <c r="G115" s="3"/>
      <c r="H115" s="3"/>
      <c r="I115" s="3" t="s">
        <v>7043</v>
      </c>
      <c r="J115" s="3"/>
      <c r="K115" s="3"/>
      <c r="L115" s="5"/>
    </row>
    <row r="116" spans="1:12" ht="28.8" x14ac:dyDescent="0.55000000000000004">
      <c r="A116" s="9" t="str">
        <f>HYPERLINK("PDF\FOIA-FWS-2020-00724-0000115.pdf","FOIA-FWS-2020-00724-0000115")</f>
        <v>FOIA-FWS-2020-00724-0000115</v>
      </c>
      <c r="B116" s="3" t="s">
        <v>230</v>
      </c>
      <c r="C116" s="3" t="s">
        <v>234</v>
      </c>
      <c r="D116" s="3" t="s">
        <v>33</v>
      </c>
      <c r="E116" s="3" t="s">
        <v>240</v>
      </c>
      <c r="F116" s="4">
        <v>41670</v>
      </c>
      <c r="G116" s="3"/>
      <c r="H116" s="3"/>
      <c r="I116" s="3" t="s">
        <v>7043</v>
      </c>
      <c r="J116" s="3"/>
      <c r="K116" s="3"/>
      <c r="L116" s="5"/>
    </row>
    <row r="117" spans="1:12" ht="28.8" x14ac:dyDescent="0.55000000000000004">
      <c r="A117" s="9" t="str">
        <f>HYPERLINK("PDF\FOIA-FWS-2020-00724-0000116.pdf","FOIA-FWS-2020-00724-0000116")</f>
        <v>FOIA-FWS-2020-00724-0000116</v>
      </c>
      <c r="B117" s="3" t="s">
        <v>230</v>
      </c>
      <c r="C117" s="3" t="s">
        <v>234</v>
      </c>
      <c r="D117" s="3" t="s">
        <v>33</v>
      </c>
      <c r="E117" s="3" t="s">
        <v>241</v>
      </c>
      <c r="F117" s="4">
        <v>41670</v>
      </c>
      <c r="G117" s="3"/>
      <c r="H117" s="3"/>
      <c r="I117" s="3" t="s">
        <v>7043</v>
      </c>
      <c r="J117" s="3"/>
      <c r="K117" s="3"/>
      <c r="L117" s="5"/>
    </row>
    <row r="118" spans="1:12" ht="28.8" x14ac:dyDescent="0.55000000000000004">
      <c r="A118" s="9" t="str">
        <f>HYPERLINK("PDF\FOIA-FWS-2020-00724-0000117.pdf","FOIA-FWS-2020-00724-0000117")</f>
        <v>FOIA-FWS-2020-00724-0000117</v>
      </c>
      <c r="B118" s="3" t="s">
        <v>242</v>
      </c>
      <c r="C118" s="3" t="s">
        <v>3</v>
      </c>
      <c r="D118" s="3" t="s">
        <v>4</v>
      </c>
      <c r="E118" s="3" t="s">
        <v>243</v>
      </c>
      <c r="F118" s="4">
        <v>41671</v>
      </c>
      <c r="G118" s="3"/>
      <c r="H118" s="3"/>
      <c r="I118" s="3" t="s">
        <v>7043</v>
      </c>
      <c r="J118" s="3"/>
      <c r="K118" s="3"/>
      <c r="L118" s="5"/>
    </row>
    <row r="119" spans="1:12" ht="57.6" x14ac:dyDescent="0.55000000000000004">
      <c r="A119" s="9" t="str">
        <f>HYPERLINK("PDF\FOIA-FWS-2020-00724-0000118.pdf","FOIA-FWS-2020-00724-0000118")</f>
        <v>FOIA-FWS-2020-00724-0000118</v>
      </c>
      <c r="B119" s="3" t="s">
        <v>244</v>
      </c>
      <c r="C119" s="3" t="s">
        <v>3</v>
      </c>
      <c r="D119" s="3" t="s">
        <v>4</v>
      </c>
      <c r="E119" s="3" t="s">
        <v>245</v>
      </c>
      <c r="F119" s="4">
        <v>41684</v>
      </c>
      <c r="G119" s="3"/>
      <c r="H119" s="3"/>
      <c r="I119" s="3" t="s">
        <v>7043</v>
      </c>
      <c r="J119" s="3"/>
      <c r="K119" s="3"/>
      <c r="L119" s="5"/>
    </row>
    <row r="120" spans="1:12" ht="28.8" x14ac:dyDescent="0.55000000000000004">
      <c r="A120" s="9" t="str">
        <f>HYPERLINK("PDF\FOIA-FWS-2020-00724-0000119.pdf","FOIA-FWS-2020-00724-0000119")</f>
        <v>FOIA-FWS-2020-00724-0000119</v>
      </c>
      <c r="B120" s="3" t="s">
        <v>246</v>
      </c>
      <c r="C120" s="3" t="s">
        <v>3</v>
      </c>
      <c r="D120" s="3" t="s">
        <v>4</v>
      </c>
      <c r="E120" s="3" t="s">
        <v>247</v>
      </c>
      <c r="F120" s="4">
        <v>41699</v>
      </c>
      <c r="G120" s="3"/>
      <c r="H120" s="3"/>
      <c r="I120" s="3" t="s">
        <v>7043</v>
      </c>
      <c r="J120" s="3"/>
      <c r="K120" s="3"/>
      <c r="L120" s="5"/>
    </row>
    <row r="121" spans="1:12" ht="28.8" x14ac:dyDescent="0.55000000000000004">
      <c r="A121" s="9" t="str">
        <f>HYPERLINK("PDF\FOIA-FWS-2020-00724-0000120.pdf","FOIA-FWS-2020-00724-0000120")</f>
        <v>FOIA-FWS-2020-00724-0000120</v>
      </c>
      <c r="B121" s="3" t="s">
        <v>248</v>
      </c>
      <c r="C121" s="3" t="s">
        <v>3</v>
      </c>
      <c r="D121" s="3" t="s">
        <v>38</v>
      </c>
      <c r="E121" s="3" t="s">
        <v>249</v>
      </c>
      <c r="F121" s="4">
        <v>41708</v>
      </c>
      <c r="G121" s="3"/>
      <c r="H121" s="3"/>
      <c r="I121" s="3" t="s">
        <v>7043</v>
      </c>
      <c r="J121" s="3"/>
      <c r="K121" s="3"/>
      <c r="L121" s="5"/>
    </row>
    <row r="122" spans="1:12" ht="28.8" x14ac:dyDescent="0.55000000000000004">
      <c r="A122" s="9" t="str">
        <f>HYPERLINK("PDF\FOIA-FWS-2020-00724-0000121.pdf","FOIA-FWS-2020-00724-0000121")</f>
        <v>FOIA-FWS-2020-00724-0000121</v>
      </c>
      <c r="B122" s="3" t="s">
        <v>250</v>
      </c>
      <c r="C122" s="3" t="s">
        <v>3</v>
      </c>
      <c r="D122" s="3" t="s">
        <v>33</v>
      </c>
      <c r="E122" s="3" t="s">
        <v>251</v>
      </c>
      <c r="F122" s="4">
        <v>41726</v>
      </c>
      <c r="G122" s="3"/>
      <c r="H122" s="3"/>
      <c r="I122" s="3" t="s">
        <v>7043</v>
      </c>
      <c r="J122" s="3"/>
      <c r="K122" s="3"/>
      <c r="L122" s="5"/>
    </row>
    <row r="123" spans="1:12" ht="28.8" x14ac:dyDescent="0.55000000000000004">
      <c r="A123" s="9" t="str">
        <f>HYPERLINK("PDF\FOIA-FWS-2020-00724-0000122.pdf","FOIA-FWS-2020-00724-0000122")</f>
        <v>FOIA-FWS-2020-00724-0000122</v>
      </c>
      <c r="B123" s="3" t="s">
        <v>252</v>
      </c>
      <c r="C123" s="3" t="s">
        <v>3</v>
      </c>
      <c r="D123" s="3" t="s">
        <v>4</v>
      </c>
      <c r="E123" s="3" t="s">
        <v>253</v>
      </c>
      <c r="F123" s="4">
        <v>41816</v>
      </c>
      <c r="G123" s="3"/>
      <c r="H123" s="3"/>
      <c r="I123" s="3" t="s">
        <v>7043</v>
      </c>
      <c r="J123" s="3"/>
      <c r="K123" s="3"/>
      <c r="L123" s="5"/>
    </row>
    <row r="124" spans="1:12" ht="28.8" x14ac:dyDescent="0.55000000000000004">
      <c r="A124" s="9" t="str">
        <f>HYPERLINK("PDF\FOIA-FWS-2020-00724-0000123.pdf","FOIA-FWS-2020-00724-0000123")</f>
        <v>FOIA-FWS-2020-00724-0000123</v>
      </c>
      <c r="B124" s="3" t="s">
        <v>254</v>
      </c>
      <c r="C124" s="3" t="s">
        <v>3</v>
      </c>
      <c r="D124" s="3" t="s">
        <v>4</v>
      </c>
      <c r="E124" s="3" t="s">
        <v>255</v>
      </c>
      <c r="F124" s="4">
        <v>41820</v>
      </c>
      <c r="G124" s="3"/>
      <c r="H124" s="3"/>
      <c r="I124" s="3" t="s">
        <v>7043</v>
      </c>
      <c r="J124" s="3"/>
      <c r="K124" s="3"/>
      <c r="L124" s="5"/>
    </row>
    <row r="125" spans="1:12" ht="28.8" x14ac:dyDescent="0.55000000000000004">
      <c r="A125" s="9" t="str">
        <f>HYPERLINK("PDF\FOIA-FWS-2020-00724-0000124.pdf","FOIA-FWS-2020-00724-0000124")</f>
        <v>FOIA-FWS-2020-00724-0000124</v>
      </c>
      <c r="B125" s="3" t="s">
        <v>256</v>
      </c>
      <c r="C125" s="3" t="s">
        <v>3</v>
      </c>
      <c r="D125" s="3" t="s">
        <v>4</v>
      </c>
      <c r="E125" s="3" t="s">
        <v>257</v>
      </c>
      <c r="F125" s="4">
        <v>41834</v>
      </c>
      <c r="G125" s="3"/>
      <c r="H125" s="3"/>
      <c r="I125" s="3" t="s">
        <v>7043</v>
      </c>
      <c r="J125" s="3"/>
      <c r="K125" s="3"/>
      <c r="L125" s="5"/>
    </row>
    <row r="126" spans="1:12" ht="28.8" x14ac:dyDescent="0.55000000000000004">
      <c r="A126" s="9" t="str">
        <f>HYPERLINK("PDF\FOIA-FWS-2020-00724-0000125.pdf","FOIA-FWS-2020-00724-0000125")</f>
        <v>FOIA-FWS-2020-00724-0000125</v>
      </c>
      <c r="B126" s="3" t="s">
        <v>258</v>
      </c>
      <c r="C126" s="3" t="s">
        <v>3</v>
      </c>
      <c r="D126" s="3" t="s">
        <v>4</v>
      </c>
      <c r="E126" s="3" t="s">
        <v>259</v>
      </c>
      <c r="F126" s="4">
        <v>41872</v>
      </c>
      <c r="G126" s="3"/>
      <c r="H126" s="3"/>
      <c r="I126" s="3" t="s">
        <v>7043</v>
      </c>
      <c r="J126" s="3"/>
      <c r="K126" s="3"/>
      <c r="L126" s="5"/>
    </row>
    <row r="127" spans="1:12" ht="28.8" x14ac:dyDescent="0.55000000000000004">
      <c r="A127" s="9" t="str">
        <f>HYPERLINK("PDF\FOIA-FWS-2020-00724-0000126.pdf","FOIA-FWS-2020-00724-0000126")</f>
        <v>FOIA-FWS-2020-00724-0000126</v>
      </c>
      <c r="B127" s="3" t="s">
        <v>258</v>
      </c>
      <c r="C127" s="3" t="s">
        <v>234</v>
      </c>
      <c r="D127" s="3" t="s">
        <v>4</v>
      </c>
      <c r="E127" s="3" t="s">
        <v>260</v>
      </c>
      <c r="F127" s="4">
        <v>41872</v>
      </c>
      <c r="G127" s="3"/>
      <c r="H127" s="3"/>
      <c r="I127" s="3" t="s">
        <v>7043</v>
      </c>
      <c r="J127" s="3"/>
      <c r="K127" s="3"/>
      <c r="L127" s="5"/>
    </row>
    <row r="128" spans="1:12" ht="28.8" x14ac:dyDescent="0.55000000000000004">
      <c r="A128" s="9" t="str">
        <f>HYPERLINK("PDF\FOIA-FWS-2020-00724-0000127.pdf","FOIA-FWS-2020-00724-0000127")</f>
        <v>FOIA-FWS-2020-00724-0000127</v>
      </c>
      <c r="B128" s="3" t="s">
        <v>261</v>
      </c>
      <c r="C128" s="3" t="s">
        <v>3</v>
      </c>
      <c r="D128" s="3" t="s">
        <v>4</v>
      </c>
      <c r="E128" s="3" t="s">
        <v>262</v>
      </c>
      <c r="F128" s="4">
        <v>41919</v>
      </c>
      <c r="G128" s="3"/>
      <c r="H128" s="3"/>
      <c r="I128" s="3" t="s">
        <v>7043</v>
      </c>
      <c r="J128" s="3"/>
      <c r="K128" s="3"/>
      <c r="L128" s="5"/>
    </row>
    <row r="129" spans="1:12" ht="28.8" x14ac:dyDescent="0.55000000000000004">
      <c r="A129" s="9" t="str">
        <f>HYPERLINK("PDF\FOIA-FWS-2020-00724-0000128.pdf","FOIA-FWS-2020-00724-0000128")</f>
        <v>FOIA-FWS-2020-00724-0000128</v>
      </c>
      <c r="B129" s="3" t="s">
        <v>263</v>
      </c>
      <c r="C129" s="3" t="s">
        <v>3</v>
      </c>
      <c r="D129" s="3" t="s">
        <v>51</v>
      </c>
      <c r="E129" s="3" t="s">
        <v>264</v>
      </c>
      <c r="F129" s="4">
        <v>41919</v>
      </c>
      <c r="G129" s="3"/>
      <c r="H129" s="3"/>
      <c r="I129" s="3" t="s">
        <v>7043</v>
      </c>
      <c r="J129" s="3"/>
      <c r="K129" s="3"/>
      <c r="L129" s="5"/>
    </row>
    <row r="130" spans="1:12" ht="43.2" x14ac:dyDescent="0.55000000000000004">
      <c r="A130" s="9" t="str">
        <f>HYPERLINK("PDF\FOIA-FWS-2020-00724-0000129.pdf","FOIA-FWS-2020-00724-0000129")</f>
        <v>FOIA-FWS-2020-00724-0000129</v>
      </c>
      <c r="B130" s="3" t="s">
        <v>265</v>
      </c>
      <c r="C130" s="3" t="s">
        <v>3</v>
      </c>
      <c r="D130" s="3" t="s">
        <v>33</v>
      </c>
      <c r="E130" s="3" t="s">
        <v>266</v>
      </c>
      <c r="F130" s="4">
        <v>41942</v>
      </c>
      <c r="G130" s="3"/>
      <c r="H130" s="3"/>
      <c r="I130" s="3" t="s">
        <v>7044</v>
      </c>
      <c r="J130" s="3" t="s">
        <v>7046</v>
      </c>
      <c r="K130" s="3" t="s">
        <v>7036</v>
      </c>
      <c r="L130" s="5"/>
    </row>
    <row r="131" spans="1:12" ht="28.8" x14ac:dyDescent="0.55000000000000004">
      <c r="A131" s="9" t="str">
        <f>HYPERLINK("PDF\FOIA-FWS-2020-00724-0000130.pdf","FOIA-FWS-2020-00724-0000130")</f>
        <v>FOIA-FWS-2020-00724-0000130</v>
      </c>
      <c r="B131" s="3" t="s">
        <v>267</v>
      </c>
      <c r="C131" s="3" t="s">
        <v>3</v>
      </c>
      <c r="D131" s="3" t="s">
        <v>33</v>
      </c>
      <c r="E131" s="3" t="s">
        <v>268</v>
      </c>
      <c r="F131" s="4">
        <v>41961</v>
      </c>
      <c r="G131" s="3"/>
      <c r="H131" s="3"/>
      <c r="I131" s="3" t="s">
        <v>7043</v>
      </c>
      <c r="J131" s="3"/>
      <c r="K131" s="3"/>
      <c r="L131" s="5"/>
    </row>
    <row r="132" spans="1:12" ht="28.8" x14ac:dyDescent="0.55000000000000004">
      <c r="A132" s="9" t="str">
        <f>HYPERLINK("PDF\FOIA-FWS-2020-00724-0000131.pdf","FOIA-FWS-2020-00724-0000131")</f>
        <v>FOIA-FWS-2020-00724-0000131</v>
      </c>
      <c r="B132" s="3" t="s">
        <v>269</v>
      </c>
      <c r="C132" s="3" t="s">
        <v>3</v>
      </c>
      <c r="D132" s="3" t="s">
        <v>4</v>
      </c>
      <c r="E132" s="3" t="s">
        <v>270</v>
      </c>
      <c r="F132" s="4">
        <v>41978</v>
      </c>
      <c r="G132" s="3"/>
      <c r="H132" s="3"/>
      <c r="I132" s="3" t="s">
        <v>7043</v>
      </c>
      <c r="J132" s="3"/>
      <c r="K132" s="3"/>
      <c r="L132" s="5"/>
    </row>
    <row r="133" spans="1:12" ht="28.8" x14ac:dyDescent="0.55000000000000004">
      <c r="A133" s="9" t="str">
        <f>HYPERLINK("PDF\FOIA-FWS-2020-00724-0000132.pdf","FOIA-FWS-2020-00724-0000132")</f>
        <v>FOIA-FWS-2020-00724-0000132</v>
      </c>
      <c r="B133" s="3" t="s">
        <v>271</v>
      </c>
      <c r="C133" s="3" t="s">
        <v>3</v>
      </c>
      <c r="D133" s="3" t="s">
        <v>4</v>
      </c>
      <c r="E133" s="3" t="s">
        <v>272</v>
      </c>
      <c r="F133" s="4">
        <v>41996</v>
      </c>
      <c r="G133" s="3"/>
      <c r="H133" s="3"/>
      <c r="I133" s="3" t="s">
        <v>7043</v>
      </c>
      <c r="J133" s="3"/>
      <c r="K133" s="3"/>
      <c r="L133" s="5"/>
    </row>
    <row r="134" spans="1:12" ht="28.8" x14ac:dyDescent="0.55000000000000004">
      <c r="A134" s="9" t="str">
        <f>HYPERLINK("PDF\FOIA-FWS-2020-00724-0000133.pdf","FOIA-FWS-2020-00724-0000133")</f>
        <v>FOIA-FWS-2020-00724-0000133</v>
      </c>
      <c r="B134" s="3" t="s">
        <v>273</v>
      </c>
      <c r="C134" s="3" t="s">
        <v>3</v>
      </c>
      <c r="D134" s="3" t="s">
        <v>274</v>
      </c>
      <c r="E134" s="3" t="s">
        <v>276</v>
      </c>
      <c r="F134" s="4">
        <v>42001</v>
      </c>
      <c r="G134" s="3" t="s">
        <v>275</v>
      </c>
      <c r="H134" s="3"/>
      <c r="I134" s="3" t="s">
        <v>7043</v>
      </c>
      <c r="J134" s="3"/>
      <c r="K134" s="3"/>
      <c r="L134" s="5"/>
    </row>
    <row r="135" spans="1:12" ht="43.2" x14ac:dyDescent="0.55000000000000004">
      <c r="A135" s="9" t="str">
        <f>HYPERLINK("PDF\FOIA-FWS-2020-00724-0000134.pdf","FOIA-FWS-2020-00724-0000134")</f>
        <v>FOIA-FWS-2020-00724-0000134</v>
      </c>
      <c r="B135" s="3" t="s">
        <v>277</v>
      </c>
      <c r="C135" s="3" t="s">
        <v>3</v>
      </c>
      <c r="D135" s="3" t="s">
        <v>4</v>
      </c>
      <c r="E135" s="3" t="s">
        <v>278</v>
      </c>
      <c r="F135" s="4">
        <v>42005</v>
      </c>
      <c r="G135" s="3"/>
      <c r="H135" s="3"/>
      <c r="I135" s="3" t="s">
        <v>7043</v>
      </c>
      <c r="J135" s="3"/>
      <c r="K135" s="3"/>
      <c r="L135" s="5"/>
    </row>
    <row r="136" spans="1:12" ht="43.2" x14ac:dyDescent="0.55000000000000004">
      <c r="A136" s="9" t="str">
        <f>HYPERLINK("PDF\FOIA-FWS-2020-00724-0000135.pdf","FOIA-FWS-2020-00724-0000135")</f>
        <v>FOIA-FWS-2020-00724-0000135</v>
      </c>
      <c r="B136" s="3" t="s">
        <v>279</v>
      </c>
      <c r="C136" s="3" t="s">
        <v>3</v>
      </c>
      <c r="D136" s="3" t="s">
        <v>4</v>
      </c>
      <c r="E136" s="3" t="s">
        <v>280</v>
      </c>
      <c r="F136" s="4">
        <v>42005</v>
      </c>
      <c r="G136" s="3"/>
      <c r="H136" s="3"/>
      <c r="I136" s="3" t="s">
        <v>7043</v>
      </c>
      <c r="J136" s="3"/>
      <c r="K136" s="3"/>
      <c r="L136" s="5"/>
    </row>
    <row r="137" spans="1:12" ht="28.8" x14ac:dyDescent="0.55000000000000004">
      <c r="A137" s="9" t="str">
        <f>HYPERLINK("PDF\FOIA-FWS-2020-00724-0000136.pdf","FOIA-FWS-2020-00724-0000136")</f>
        <v>FOIA-FWS-2020-00724-0000136</v>
      </c>
      <c r="B137" s="3" t="s">
        <v>281</v>
      </c>
      <c r="C137" s="3" t="s">
        <v>3</v>
      </c>
      <c r="D137" s="3" t="s">
        <v>38</v>
      </c>
      <c r="E137" s="3" t="s">
        <v>282</v>
      </c>
      <c r="F137" s="4">
        <v>42005</v>
      </c>
      <c r="G137" s="3"/>
      <c r="H137" s="3"/>
      <c r="I137" s="3" t="s">
        <v>7043</v>
      </c>
      <c r="J137" s="3"/>
      <c r="K137" s="3"/>
      <c r="L137" s="5"/>
    </row>
    <row r="138" spans="1:12" ht="28.8" x14ac:dyDescent="0.55000000000000004">
      <c r="A138" s="9" t="str">
        <f>HYPERLINK("PDF\FOIA-FWS-2020-00724-0000137.pdf","FOIA-FWS-2020-00724-0000137")</f>
        <v>FOIA-FWS-2020-00724-0000137</v>
      </c>
      <c r="B138" s="3" t="s">
        <v>283</v>
      </c>
      <c r="C138" s="3" t="s">
        <v>3</v>
      </c>
      <c r="D138" s="3" t="s">
        <v>38</v>
      </c>
      <c r="E138" s="3" t="s">
        <v>284</v>
      </c>
      <c r="F138" s="4">
        <v>42005</v>
      </c>
      <c r="G138" s="3"/>
      <c r="H138" s="3"/>
      <c r="I138" s="3" t="s">
        <v>7043</v>
      </c>
      <c r="J138" s="3"/>
      <c r="K138" s="3"/>
      <c r="L138" s="5"/>
    </row>
    <row r="139" spans="1:12" ht="28.8" x14ac:dyDescent="0.55000000000000004">
      <c r="A139" s="9" t="str">
        <f>HYPERLINK("PDF\FOIA-FWS-2020-00724-0000138.pdf","FOIA-FWS-2020-00724-0000138")</f>
        <v>FOIA-FWS-2020-00724-0000138</v>
      </c>
      <c r="B139" s="3" t="s">
        <v>285</v>
      </c>
      <c r="C139" s="3" t="s">
        <v>3</v>
      </c>
      <c r="D139" s="3" t="s">
        <v>4</v>
      </c>
      <c r="E139" s="3" t="s">
        <v>286</v>
      </c>
      <c r="F139" s="4">
        <v>42005</v>
      </c>
      <c r="G139" s="3"/>
      <c r="H139" s="3"/>
      <c r="I139" s="3" t="s">
        <v>7043</v>
      </c>
      <c r="J139" s="3"/>
      <c r="K139" s="3"/>
      <c r="L139" s="5"/>
    </row>
    <row r="140" spans="1:12" ht="28.8" x14ac:dyDescent="0.55000000000000004">
      <c r="A140" s="9" t="str">
        <f>HYPERLINK("PDF\FOIA-FWS-2020-00724-0000139.pdf","FOIA-FWS-2020-00724-0000139")</f>
        <v>FOIA-FWS-2020-00724-0000139</v>
      </c>
      <c r="B140" s="3" t="s">
        <v>287</v>
      </c>
      <c r="C140" s="3" t="s">
        <v>3</v>
      </c>
      <c r="D140" s="3" t="s">
        <v>4</v>
      </c>
      <c r="E140" s="3" t="s">
        <v>288</v>
      </c>
      <c r="F140" s="4">
        <v>42005</v>
      </c>
      <c r="G140" s="3"/>
      <c r="H140" s="3"/>
      <c r="I140" s="3" t="s">
        <v>7043</v>
      </c>
      <c r="J140" s="3"/>
      <c r="K140" s="3"/>
      <c r="L140" s="5"/>
    </row>
    <row r="141" spans="1:12" ht="28.8" x14ac:dyDescent="0.55000000000000004">
      <c r="A141" s="9" t="str">
        <f>HYPERLINK("PDF\FOIA-FWS-2020-00724-0000140.pdf","FOIA-FWS-2020-00724-0000140")</f>
        <v>FOIA-FWS-2020-00724-0000140</v>
      </c>
      <c r="B141" s="3" t="s">
        <v>289</v>
      </c>
      <c r="C141" s="3" t="s">
        <v>3</v>
      </c>
      <c r="D141" s="3" t="s">
        <v>4</v>
      </c>
      <c r="E141" s="3" t="s">
        <v>290</v>
      </c>
      <c r="F141" s="4">
        <v>42005</v>
      </c>
      <c r="G141" s="3"/>
      <c r="H141" s="3"/>
      <c r="I141" s="3" t="s">
        <v>7043</v>
      </c>
      <c r="J141" s="3"/>
      <c r="K141" s="3"/>
      <c r="L141" s="5"/>
    </row>
    <row r="142" spans="1:12" ht="28.8" x14ac:dyDescent="0.55000000000000004">
      <c r="A142" s="9" t="str">
        <f>HYPERLINK("PDF\FOIA-FWS-2020-00724-0000141.pdf","FOIA-FWS-2020-00724-0000141")</f>
        <v>FOIA-FWS-2020-00724-0000141</v>
      </c>
      <c r="B142" s="3" t="s">
        <v>291</v>
      </c>
      <c r="C142" s="3" t="s">
        <v>3</v>
      </c>
      <c r="D142" s="3" t="s">
        <v>4</v>
      </c>
      <c r="E142" s="3" t="s">
        <v>292</v>
      </c>
      <c r="F142" s="4">
        <v>42005</v>
      </c>
      <c r="G142" s="3"/>
      <c r="H142" s="3"/>
      <c r="I142" s="3" t="s">
        <v>7043</v>
      </c>
      <c r="J142" s="3"/>
      <c r="K142" s="3"/>
      <c r="L142" s="5"/>
    </row>
    <row r="143" spans="1:12" ht="28.8" x14ac:dyDescent="0.55000000000000004">
      <c r="A143" s="9" t="str">
        <f>HYPERLINK("PDF\FOIA-FWS-2020-00724-0000142.pdf","FOIA-FWS-2020-00724-0000142")</f>
        <v>FOIA-FWS-2020-00724-0000142</v>
      </c>
      <c r="B143" s="3" t="s">
        <v>293</v>
      </c>
      <c r="C143" s="3" t="s">
        <v>3</v>
      </c>
      <c r="D143" s="3" t="s">
        <v>274</v>
      </c>
      <c r="E143" s="3" t="s">
        <v>295</v>
      </c>
      <c r="F143" s="4">
        <v>42006</v>
      </c>
      <c r="G143" s="3" t="s">
        <v>294</v>
      </c>
      <c r="H143" s="3"/>
      <c r="I143" s="3" t="s">
        <v>7043</v>
      </c>
      <c r="J143" s="3"/>
      <c r="K143" s="3"/>
      <c r="L143" s="5"/>
    </row>
    <row r="144" spans="1:12" ht="28.8" x14ac:dyDescent="0.55000000000000004">
      <c r="A144" s="9" t="str">
        <f>HYPERLINK("PDF\FOIA-FWS-2020-00724-0000143.pdf","FOIA-FWS-2020-00724-0000143")</f>
        <v>FOIA-FWS-2020-00724-0000143</v>
      </c>
      <c r="B144" s="3" t="s">
        <v>296</v>
      </c>
      <c r="C144" s="3" t="s">
        <v>3</v>
      </c>
      <c r="D144" s="3" t="s">
        <v>274</v>
      </c>
      <c r="E144" s="3" t="s">
        <v>298</v>
      </c>
      <c r="F144" s="4">
        <v>42007</v>
      </c>
      <c r="G144" s="3" t="s">
        <v>297</v>
      </c>
      <c r="H144" s="3"/>
      <c r="I144" s="3" t="s">
        <v>7043</v>
      </c>
      <c r="J144" s="3"/>
      <c r="K144" s="3"/>
      <c r="L144" s="5"/>
    </row>
    <row r="145" spans="1:12" ht="28.8" x14ac:dyDescent="0.55000000000000004">
      <c r="A145" s="9" t="str">
        <f>HYPERLINK("PDF\FOIA-FWS-2020-00724-0000144.pdf","FOIA-FWS-2020-00724-0000144")</f>
        <v>FOIA-FWS-2020-00724-0000144</v>
      </c>
      <c r="B145" s="3" t="s">
        <v>299</v>
      </c>
      <c r="C145" s="3" t="s">
        <v>3</v>
      </c>
      <c r="D145" s="3" t="s">
        <v>274</v>
      </c>
      <c r="E145" s="3" t="s">
        <v>301</v>
      </c>
      <c r="F145" s="4">
        <v>42008</v>
      </c>
      <c r="G145" s="3" t="s">
        <v>300</v>
      </c>
      <c r="H145" s="3"/>
      <c r="I145" s="3" t="s">
        <v>7043</v>
      </c>
      <c r="J145" s="3"/>
      <c r="K145" s="3"/>
      <c r="L145" s="5"/>
    </row>
    <row r="146" spans="1:12" ht="28.8" x14ac:dyDescent="0.55000000000000004">
      <c r="A146" s="9" t="str">
        <f>HYPERLINK("PDF\FOIA-FWS-2020-00724-0000145.pdf","FOIA-FWS-2020-00724-0000145")</f>
        <v>FOIA-FWS-2020-00724-0000145</v>
      </c>
      <c r="B146" s="3" t="s">
        <v>302</v>
      </c>
      <c r="C146" s="3" t="s">
        <v>3</v>
      </c>
      <c r="D146" s="3" t="s">
        <v>274</v>
      </c>
      <c r="E146" s="3" t="s">
        <v>304</v>
      </c>
      <c r="F146" s="4">
        <v>42008</v>
      </c>
      <c r="G146" s="3" t="s">
        <v>303</v>
      </c>
      <c r="H146" s="3"/>
      <c r="I146" s="3" t="s">
        <v>7043</v>
      </c>
      <c r="J146" s="3"/>
      <c r="K146" s="3"/>
      <c r="L146" s="5"/>
    </row>
    <row r="147" spans="1:12" ht="28.8" x14ac:dyDescent="0.55000000000000004">
      <c r="A147" s="9" t="str">
        <f>HYPERLINK("PDF\FOIA-FWS-2020-00724-0000146.pdf","FOIA-FWS-2020-00724-0000146")</f>
        <v>FOIA-FWS-2020-00724-0000146</v>
      </c>
      <c r="B147" s="3" t="s">
        <v>305</v>
      </c>
      <c r="C147" s="3" t="s">
        <v>3</v>
      </c>
      <c r="D147" s="3" t="s">
        <v>274</v>
      </c>
      <c r="E147" s="3" t="s">
        <v>307</v>
      </c>
      <c r="F147" s="4">
        <v>42009</v>
      </c>
      <c r="G147" s="3" t="s">
        <v>306</v>
      </c>
      <c r="H147" s="3"/>
      <c r="I147" s="3" t="s">
        <v>7043</v>
      </c>
      <c r="J147" s="3"/>
      <c r="K147" s="3"/>
      <c r="L147" s="5"/>
    </row>
    <row r="148" spans="1:12" ht="28.8" x14ac:dyDescent="0.55000000000000004">
      <c r="A148" s="9" t="str">
        <f>HYPERLINK("PDF\FOIA-FWS-2020-00724-0000147.pdf","FOIA-FWS-2020-00724-0000147")</f>
        <v>FOIA-FWS-2020-00724-0000147</v>
      </c>
      <c r="B148" s="3" t="s">
        <v>308</v>
      </c>
      <c r="C148" s="3" t="s">
        <v>3</v>
      </c>
      <c r="D148" s="3" t="s">
        <v>274</v>
      </c>
      <c r="E148" s="3" t="s">
        <v>310</v>
      </c>
      <c r="F148" s="4">
        <v>42013</v>
      </c>
      <c r="G148" s="3" t="s">
        <v>309</v>
      </c>
      <c r="H148" s="3"/>
      <c r="I148" s="3" t="s">
        <v>7043</v>
      </c>
      <c r="J148" s="3"/>
      <c r="K148" s="3"/>
      <c r="L148" s="5"/>
    </row>
    <row r="149" spans="1:12" ht="28.8" x14ac:dyDescent="0.55000000000000004">
      <c r="A149" s="9" t="str">
        <f>HYPERLINK("PDF\FOIA-FWS-2020-00724-0000148.pdf","FOIA-FWS-2020-00724-0000148")</f>
        <v>FOIA-FWS-2020-00724-0000148</v>
      </c>
      <c r="B149" s="3" t="s">
        <v>311</v>
      </c>
      <c r="C149" s="3" t="s">
        <v>3</v>
      </c>
      <c r="D149" s="3" t="s">
        <v>274</v>
      </c>
      <c r="E149" s="3" t="s">
        <v>313</v>
      </c>
      <c r="F149" s="4">
        <v>42013</v>
      </c>
      <c r="G149" s="3" t="s">
        <v>312</v>
      </c>
      <c r="H149" s="3"/>
      <c r="I149" s="3" t="s">
        <v>7043</v>
      </c>
      <c r="J149" s="3"/>
      <c r="K149" s="3"/>
      <c r="L149" s="5"/>
    </row>
    <row r="150" spans="1:12" ht="28.8" x14ac:dyDescent="0.55000000000000004">
      <c r="A150" s="9" t="str">
        <f>HYPERLINK("PDF\FOIA-FWS-2020-00724-0000149.pdf","FOIA-FWS-2020-00724-0000149")</f>
        <v>FOIA-FWS-2020-00724-0000149</v>
      </c>
      <c r="B150" s="3" t="s">
        <v>314</v>
      </c>
      <c r="C150" s="3" t="s">
        <v>3</v>
      </c>
      <c r="D150" s="3" t="s">
        <v>274</v>
      </c>
      <c r="E150" s="3" t="s">
        <v>316</v>
      </c>
      <c r="F150" s="4">
        <v>42013</v>
      </c>
      <c r="G150" s="3" t="s">
        <v>315</v>
      </c>
      <c r="H150" s="3"/>
      <c r="I150" s="3" t="s">
        <v>7043</v>
      </c>
      <c r="J150" s="3"/>
      <c r="K150" s="3" t="s">
        <v>7058</v>
      </c>
      <c r="L150" s="5"/>
    </row>
    <row r="151" spans="1:12" ht="28.8" x14ac:dyDescent="0.55000000000000004">
      <c r="A151" s="9" t="str">
        <f>HYPERLINK("PDF\FOIA-FWS-2020-00724-0000150.pdf","FOIA-FWS-2020-00724-0000150")</f>
        <v>FOIA-FWS-2020-00724-0000150</v>
      </c>
      <c r="B151" s="3" t="s">
        <v>317</v>
      </c>
      <c r="C151" s="3" t="s">
        <v>3</v>
      </c>
      <c r="D151" s="3" t="s">
        <v>33</v>
      </c>
      <c r="E151" s="3" t="s">
        <v>318</v>
      </c>
      <c r="F151" s="4">
        <v>42016</v>
      </c>
      <c r="G151" s="3"/>
      <c r="H151" s="3"/>
      <c r="I151" s="3" t="s">
        <v>7043</v>
      </c>
      <c r="J151" s="3"/>
      <c r="K151" s="3"/>
      <c r="L151" s="5"/>
    </row>
    <row r="152" spans="1:12" ht="28.8" x14ac:dyDescent="0.55000000000000004">
      <c r="A152" s="9" t="str">
        <f>HYPERLINK("PDF\FOIA-FWS-2020-00724-0000151.pdf","FOIA-FWS-2020-00724-0000151")</f>
        <v>FOIA-FWS-2020-00724-0000151</v>
      </c>
      <c r="B152" s="3" t="s">
        <v>319</v>
      </c>
      <c r="C152" s="3" t="s">
        <v>3</v>
      </c>
      <c r="D152" s="3" t="s">
        <v>38</v>
      </c>
      <c r="E152" s="3" t="s">
        <v>320</v>
      </c>
      <c r="F152" s="4">
        <v>42036</v>
      </c>
      <c r="G152" s="3"/>
      <c r="H152" s="3"/>
      <c r="I152" s="3" t="s">
        <v>7043</v>
      </c>
      <c r="J152" s="3"/>
      <c r="K152" s="3"/>
      <c r="L152" s="5"/>
    </row>
    <row r="153" spans="1:12" ht="28.8" x14ac:dyDescent="0.55000000000000004">
      <c r="A153" s="9" t="str">
        <f>HYPERLINK("PDF\FOIA-FWS-2020-00724-0000152.pdf","FOIA-FWS-2020-00724-0000152")</f>
        <v>FOIA-FWS-2020-00724-0000152</v>
      </c>
      <c r="B153" s="3" t="s">
        <v>321</v>
      </c>
      <c r="C153" s="3" t="s">
        <v>3</v>
      </c>
      <c r="D153" s="3" t="s">
        <v>38</v>
      </c>
      <c r="E153" s="3" t="s">
        <v>322</v>
      </c>
      <c r="F153" s="4">
        <v>42073</v>
      </c>
      <c r="G153" s="3"/>
      <c r="H153" s="3"/>
      <c r="I153" s="3" t="s">
        <v>7043</v>
      </c>
      <c r="J153" s="3"/>
      <c r="K153" s="3"/>
      <c r="L153" s="5"/>
    </row>
    <row r="154" spans="1:12" ht="28.8" x14ac:dyDescent="0.55000000000000004">
      <c r="A154" s="9" t="str">
        <f>HYPERLINK("PDF\FOIA-FWS-2020-00724-0000153.pdf","FOIA-FWS-2020-00724-0000153")</f>
        <v>FOIA-FWS-2020-00724-0000153</v>
      </c>
      <c r="B154" s="3" t="s">
        <v>323</v>
      </c>
      <c r="C154" s="3" t="s">
        <v>3</v>
      </c>
      <c r="D154" s="3" t="s">
        <v>4</v>
      </c>
      <c r="E154" s="3" t="s">
        <v>324</v>
      </c>
      <c r="F154" s="4">
        <v>42108</v>
      </c>
      <c r="G154" s="3"/>
      <c r="H154" s="3"/>
      <c r="I154" s="3" t="s">
        <v>7043</v>
      </c>
      <c r="J154" s="3"/>
      <c r="K154" s="3"/>
      <c r="L154" s="5"/>
    </row>
    <row r="155" spans="1:12" ht="43.2" x14ac:dyDescent="0.55000000000000004">
      <c r="A155" s="9" t="str">
        <f>HYPERLINK("PDF\FOIA-FWS-2020-00724-0000154.pdf","FOIA-FWS-2020-00724-0000154")</f>
        <v>FOIA-FWS-2020-00724-0000154</v>
      </c>
      <c r="B155" s="3" t="s">
        <v>325</v>
      </c>
      <c r="C155" s="3" t="s">
        <v>3</v>
      </c>
      <c r="D155" s="3" t="s">
        <v>4</v>
      </c>
      <c r="E155" s="3" t="s">
        <v>326</v>
      </c>
      <c r="F155" s="4">
        <v>42125</v>
      </c>
      <c r="G155" s="3"/>
      <c r="H155" s="3"/>
      <c r="I155" s="3" t="s">
        <v>7043</v>
      </c>
      <c r="J155" s="3"/>
      <c r="K155" s="3"/>
      <c r="L155" s="5"/>
    </row>
    <row r="156" spans="1:12" ht="28.8" x14ac:dyDescent="0.55000000000000004">
      <c r="A156" s="9" t="str">
        <f>HYPERLINK("PDF\FOIA-FWS-2020-00724-0000155.pdf","FOIA-FWS-2020-00724-0000155")</f>
        <v>FOIA-FWS-2020-00724-0000155</v>
      </c>
      <c r="B156" s="3" t="s">
        <v>327</v>
      </c>
      <c r="C156" s="3" t="s">
        <v>3</v>
      </c>
      <c r="D156" s="3" t="s">
        <v>33</v>
      </c>
      <c r="E156" s="3" t="s">
        <v>328</v>
      </c>
      <c r="F156" s="4">
        <v>42165</v>
      </c>
      <c r="G156" s="3"/>
      <c r="H156" s="3"/>
      <c r="I156" s="3" t="s">
        <v>7043</v>
      </c>
      <c r="J156" s="3"/>
      <c r="K156" s="3"/>
      <c r="L156" s="5"/>
    </row>
    <row r="157" spans="1:12" ht="28.8" x14ac:dyDescent="0.55000000000000004">
      <c r="A157" s="9" t="str">
        <f>HYPERLINK("PDF\FOIA-FWS-2020-00724-0000156.pdf","FOIA-FWS-2020-00724-0000156")</f>
        <v>FOIA-FWS-2020-00724-0000156</v>
      </c>
      <c r="B157" s="3" t="s">
        <v>329</v>
      </c>
      <c r="C157" s="3" t="s">
        <v>3</v>
      </c>
      <c r="D157" s="3" t="s">
        <v>4</v>
      </c>
      <c r="E157" s="3" t="s">
        <v>330</v>
      </c>
      <c r="F157" s="4">
        <v>42165</v>
      </c>
      <c r="G157" s="3"/>
      <c r="H157" s="3"/>
      <c r="I157" s="3" t="s">
        <v>7043</v>
      </c>
      <c r="J157" s="3"/>
      <c r="K157" s="3"/>
      <c r="L157" s="5"/>
    </row>
    <row r="158" spans="1:12" ht="28.8" x14ac:dyDescent="0.55000000000000004">
      <c r="A158" s="9" t="str">
        <f>HYPERLINK("PDF\FOIA-FWS-2020-00724-0000157.pdf","FOIA-FWS-2020-00724-0000157")</f>
        <v>FOIA-FWS-2020-00724-0000157</v>
      </c>
      <c r="B158" s="3" t="s">
        <v>331</v>
      </c>
      <c r="C158" s="3" t="s">
        <v>3</v>
      </c>
      <c r="D158" s="3" t="s">
        <v>38</v>
      </c>
      <c r="E158" s="3" t="s">
        <v>332</v>
      </c>
      <c r="F158" s="4">
        <v>42186</v>
      </c>
      <c r="G158" s="3"/>
      <c r="H158" s="3"/>
      <c r="I158" s="3" t="s">
        <v>7043</v>
      </c>
      <c r="J158" s="3"/>
      <c r="K158" s="3"/>
      <c r="L158" s="5"/>
    </row>
    <row r="159" spans="1:12" ht="28.8" x14ac:dyDescent="0.55000000000000004">
      <c r="A159" s="9" t="str">
        <f>HYPERLINK("PDF\FOIA-FWS-2020-00724-0000158.pdf","FOIA-FWS-2020-00724-0000158")</f>
        <v>FOIA-FWS-2020-00724-0000158</v>
      </c>
      <c r="B159" s="3" t="s">
        <v>333</v>
      </c>
      <c r="C159" s="3" t="s">
        <v>3</v>
      </c>
      <c r="D159" s="3" t="s">
        <v>33</v>
      </c>
      <c r="E159" s="3" t="s">
        <v>334</v>
      </c>
      <c r="F159" s="4">
        <v>42217</v>
      </c>
      <c r="G159" s="3"/>
      <c r="H159" s="3"/>
      <c r="I159" s="3" t="s">
        <v>7043</v>
      </c>
      <c r="J159" s="3"/>
      <c r="K159" s="3"/>
      <c r="L159" s="5"/>
    </row>
    <row r="160" spans="1:12" ht="28.8" x14ac:dyDescent="0.55000000000000004">
      <c r="A160" s="9" t="str">
        <f>HYPERLINK("PDF\FOIA-FWS-2020-00724-0000159.pdf","FOIA-FWS-2020-00724-0000159")</f>
        <v>FOIA-FWS-2020-00724-0000159</v>
      </c>
      <c r="B160" s="3" t="s">
        <v>335</v>
      </c>
      <c r="C160" s="3" t="s">
        <v>3</v>
      </c>
      <c r="D160" s="3" t="s">
        <v>4</v>
      </c>
      <c r="E160" s="3" t="s">
        <v>336</v>
      </c>
      <c r="F160" s="4">
        <v>42217</v>
      </c>
      <c r="G160" s="3"/>
      <c r="H160" s="3"/>
      <c r="I160" s="3" t="s">
        <v>7043</v>
      </c>
      <c r="J160" s="3"/>
      <c r="K160" s="3"/>
      <c r="L160" s="5"/>
    </row>
    <row r="161" spans="1:12" ht="28.8" x14ac:dyDescent="0.55000000000000004">
      <c r="A161" s="9" t="str">
        <f>HYPERLINK("PDF\FOIA-FWS-2020-00724-0000160.pdf","FOIA-FWS-2020-00724-0000160")</f>
        <v>FOIA-FWS-2020-00724-0000160</v>
      </c>
      <c r="B161" s="3" t="s">
        <v>337</v>
      </c>
      <c r="C161" s="3" t="s">
        <v>3</v>
      </c>
      <c r="D161" s="3" t="s">
        <v>33</v>
      </c>
      <c r="E161" s="3" t="s">
        <v>338</v>
      </c>
      <c r="F161" s="4">
        <v>42217</v>
      </c>
      <c r="G161" s="3"/>
      <c r="H161" s="3"/>
      <c r="I161" s="3" t="s">
        <v>7043</v>
      </c>
      <c r="J161" s="3"/>
      <c r="K161" s="3"/>
      <c r="L161" s="5"/>
    </row>
    <row r="162" spans="1:12" ht="28.8" x14ac:dyDescent="0.55000000000000004">
      <c r="A162" s="9" t="str">
        <f>HYPERLINK("PDF\FOIA-FWS-2020-00724-0000161.pdf","FOIA-FWS-2020-00724-0000161")</f>
        <v>FOIA-FWS-2020-00724-0000161</v>
      </c>
      <c r="B162" s="3" t="s">
        <v>339</v>
      </c>
      <c r="C162" s="3" t="s">
        <v>3</v>
      </c>
      <c r="D162" s="3" t="s">
        <v>38</v>
      </c>
      <c r="E162" s="3" t="s">
        <v>340</v>
      </c>
      <c r="F162" s="4">
        <v>42221</v>
      </c>
      <c r="G162" s="3"/>
      <c r="H162" s="3"/>
      <c r="I162" s="3" t="s">
        <v>7043</v>
      </c>
      <c r="J162" s="3"/>
      <c r="K162" s="3"/>
      <c r="L162" s="5"/>
    </row>
    <row r="163" spans="1:12" ht="28.8" x14ac:dyDescent="0.55000000000000004">
      <c r="A163" s="9" t="str">
        <f>HYPERLINK("PDF\FOIA-FWS-2020-00724-0000162.pdf","FOIA-FWS-2020-00724-0000162")</f>
        <v>FOIA-FWS-2020-00724-0000162</v>
      </c>
      <c r="B163" s="3" t="s">
        <v>341</v>
      </c>
      <c r="C163" s="3" t="s">
        <v>3</v>
      </c>
      <c r="D163" s="3" t="s">
        <v>38</v>
      </c>
      <c r="E163" s="3" t="s">
        <v>342</v>
      </c>
      <c r="F163" s="4">
        <v>42225</v>
      </c>
      <c r="G163" s="3"/>
      <c r="H163" s="3"/>
      <c r="I163" s="3" t="s">
        <v>7043</v>
      </c>
      <c r="J163" s="3"/>
      <c r="K163" s="3"/>
      <c r="L163" s="5"/>
    </row>
    <row r="164" spans="1:12" ht="28.8" x14ac:dyDescent="0.55000000000000004">
      <c r="A164" s="9" t="str">
        <f>HYPERLINK("PDF\FOIA-FWS-2020-00724-0000163.pdf","FOIA-FWS-2020-00724-0000163")</f>
        <v>FOIA-FWS-2020-00724-0000163</v>
      </c>
      <c r="B164" s="3" t="s">
        <v>343</v>
      </c>
      <c r="C164" s="3" t="s">
        <v>3</v>
      </c>
      <c r="D164" s="3" t="s">
        <v>4</v>
      </c>
      <c r="E164" s="3" t="s">
        <v>344</v>
      </c>
      <c r="F164" s="4">
        <v>42241</v>
      </c>
      <c r="G164" s="3"/>
      <c r="H164" s="3"/>
      <c r="I164" s="3" t="s">
        <v>7043</v>
      </c>
      <c r="J164" s="3"/>
      <c r="K164" s="3"/>
      <c r="L164" s="5"/>
    </row>
    <row r="165" spans="1:12" ht="28.8" x14ac:dyDescent="0.55000000000000004">
      <c r="A165" s="9" t="str">
        <f>HYPERLINK("PDF\FOIA-FWS-2020-00724-0000164.pdf","FOIA-FWS-2020-00724-0000164")</f>
        <v>FOIA-FWS-2020-00724-0000164</v>
      </c>
      <c r="B165" s="3" t="s">
        <v>345</v>
      </c>
      <c r="C165" s="3" t="s">
        <v>3</v>
      </c>
      <c r="D165" s="3" t="s">
        <v>4</v>
      </c>
      <c r="E165" s="3" t="s">
        <v>346</v>
      </c>
      <c r="F165" s="4">
        <v>42249</v>
      </c>
      <c r="G165" s="3"/>
      <c r="H165" s="3"/>
      <c r="I165" s="3" t="s">
        <v>7043</v>
      </c>
      <c r="J165" s="3"/>
      <c r="K165" s="3"/>
      <c r="L165" s="5"/>
    </row>
    <row r="166" spans="1:12" ht="28.8" x14ac:dyDescent="0.55000000000000004">
      <c r="A166" s="9" t="str">
        <f>HYPERLINK("PDF\FOIA-FWS-2020-00724-0000165.pdf","FOIA-FWS-2020-00724-0000165")</f>
        <v>FOIA-FWS-2020-00724-0000165</v>
      </c>
      <c r="B166" s="3" t="s">
        <v>347</v>
      </c>
      <c r="C166" s="3" t="s">
        <v>3</v>
      </c>
      <c r="D166" s="3" t="s">
        <v>38</v>
      </c>
      <c r="E166" s="3" t="s">
        <v>348</v>
      </c>
      <c r="F166" s="4">
        <v>42312</v>
      </c>
      <c r="G166" s="3"/>
      <c r="H166" s="3"/>
      <c r="I166" s="3" t="s">
        <v>7043</v>
      </c>
      <c r="J166" s="3"/>
      <c r="K166" s="3"/>
      <c r="L166" s="5"/>
    </row>
    <row r="167" spans="1:12" ht="28.8" x14ac:dyDescent="0.55000000000000004">
      <c r="A167" s="9" t="str">
        <f>HYPERLINK("PDF\FOIA-FWS-2020-00724-0000166.pdf","FOIA-FWS-2020-00724-0000166")</f>
        <v>FOIA-FWS-2020-00724-0000166</v>
      </c>
      <c r="B167" s="3" t="s">
        <v>349</v>
      </c>
      <c r="C167" s="3" t="s">
        <v>3</v>
      </c>
      <c r="D167" s="3" t="s">
        <v>4</v>
      </c>
      <c r="E167" s="3" t="s">
        <v>350</v>
      </c>
      <c r="F167" s="4">
        <v>42325</v>
      </c>
      <c r="G167" s="3"/>
      <c r="H167" s="3"/>
      <c r="I167" s="3" t="s">
        <v>7043</v>
      </c>
      <c r="J167" s="3"/>
      <c r="K167" s="3"/>
      <c r="L167" s="5"/>
    </row>
    <row r="168" spans="1:12" ht="28.8" x14ac:dyDescent="0.55000000000000004">
      <c r="A168" s="9" t="str">
        <f>HYPERLINK("PDF\FOIA-FWS-2020-00724-0000167.pdf","FOIA-FWS-2020-00724-0000167")</f>
        <v>FOIA-FWS-2020-00724-0000167</v>
      </c>
      <c r="B168" s="3" t="s">
        <v>351</v>
      </c>
      <c r="C168" s="3" t="s">
        <v>3</v>
      </c>
      <c r="D168" s="3" t="s">
        <v>4</v>
      </c>
      <c r="E168" s="3" t="s">
        <v>352</v>
      </c>
      <c r="F168" s="4">
        <v>42328</v>
      </c>
      <c r="G168" s="3"/>
      <c r="H168" s="3"/>
      <c r="I168" s="3" t="s">
        <v>7043</v>
      </c>
      <c r="J168" s="3"/>
      <c r="K168" s="3"/>
      <c r="L168" s="5"/>
    </row>
    <row r="169" spans="1:12" ht="28.8" x14ac:dyDescent="0.55000000000000004">
      <c r="A169" s="9" t="str">
        <f>HYPERLINK("PDF\FOIA-FWS-2020-00724-0000168.pdf","FOIA-FWS-2020-00724-0000168")</f>
        <v>FOIA-FWS-2020-00724-0000168</v>
      </c>
      <c r="B169" s="3" t="s">
        <v>353</v>
      </c>
      <c r="C169" s="3" t="s">
        <v>3</v>
      </c>
      <c r="D169" s="3" t="s">
        <v>4</v>
      </c>
      <c r="E169" s="3" t="s">
        <v>354</v>
      </c>
      <c r="F169" s="4">
        <v>42338</v>
      </c>
      <c r="G169" s="3"/>
      <c r="H169" s="3"/>
      <c r="I169" s="3" t="s">
        <v>7043</v>
      </c>
      <c r="J169" s="3"/>
      <c r="K169" s="3"/>
      <c r="L169" s="5"/>
    </row>
    <row r="170" spans="1:12" ht="28.8" x14ac:dyDescent="0.55000000000000004">
      <c r="A170" s="9" t="str">
        <f>HYPERLINK("PDF\FOIA-FWS-2020-00724-0000169.pdf","FOIA-FWS-2020-00724-0000169")</f>
        <v>FOIA-FWS-2020-00724-0000169</v>
      </c>
      <c r="B170" s="3" t="s">
        <v>355</v>
      </c>
      <c r="C170" s="3" t="s">
        <v>3</v>
      </c>
      <c r="D170" s="3" t="s">
        <v>33</v>
      </c>
      <c r="E170" s="3" t="s">
        <v>356</v>
      </c>
      <c r="F170" s="4">
        <v>42342</v>
      </c>
      <c r="G170" s="3"/>
      <c r="H170" s="3"/>
      <c r="I170" s="3" t="s">
        <v>7043</v>
      </c>
      <c r="J170" s="3"/>
      <c r="K170" s="3"/>
      <c r="L170" s="5"/>
    </row>
    <row r="171" spans="1:12" ht="28.8" x14ac:dyDescent="0.55000000000000004">
      <c r="A171" s="9" t="str">
        <f>HYPERLINK("PDF\FOIA-FWS-2020-00724-0000170.pdf","FOIA-FWS-2020-00724-0000170")</f>
        <v>FOIA-FWS-2020-00724-0000170</v>
      </c>
      <c r="B171" s="3" t="s">
        <v>357</v>
      </c>
      <c r="C171" s="3" t="s">
        <v>3</v>
      </c>
      <c r="D171" s="3" t="s">
        <v>4</v>
      </c>
      <c r="E171" s="3" t="s">
        <v>358</v>
      </c>
      <c r="F171" s="4">
        <v>42370</v>
      </c>
      <c r="G171" s="3"/>
      <c r="H171" s="3"/>
      <c r="I171" s="3" t="s">
        <v>7043</v>
      </c>
      <c r="J171" s="3"/>
      <c r="K171" s="3"/>
      <c r="L171" s="5"/>
    </row>
    <row r="172" spans="1:12" ht="28.8" x14ac:dyDescent="0.55000000000000004">
      <c r="A172" s="9" t="str">
        <f>HYPERLINK("PDF\FOIA-FWS-2020-00724-0000171.pdf","FOIA-FWS-2020-00724-0000171")</f>
        <v>FOIA-FWS-2020-00724-0000171</v>
      </c>
      <c r="B172" s="3" t="s">
        <v>359</v>
      </c>
      <c r="C172" s="3" t="s">
        <v>3</v>
      </c>
      <c r="D172" s="3" t="s">
        <v>38</v>
      </c>
      <c r="E172" s="3" t="s">
        <v>360</v>
      </c>
      <c r="F172" s="4">
        <v>42370</v>
      </c>
      <c r="G172" s="3"/>
      <c r="H172" s="3"/>
      <c r="I172" s="3" t="s">
        <v>7043</v>
      </c>
      <c r="J172" s="3"/>
      <c r="K172" s="3"/>
      <c r="L172" s="5"/>
    </row>
    <row r="173" spans="1:12" ht="28.8" x14ac:dyDescent="0.55000000000000004">
      <c r="A173" s="9" t="str">
        <f>HYPERLINK("PDF\FOIA-FWS-2020-00724-0000172.pdf","FOIA-FWS-2020-00724-0000172")</f>
        <v>FOIA-FWS-2020-00724-0000172</v>
      </c>
      <c r="B173" s="3" t="s">
        <v>361</v>
      </c>
      <c r="C173" s="3" t="s">
        <v>3</v>
      </c>
      <c r="D173" s="3" t="s">
        <v>38</v>
      </c>
      <c r="E173" s="3" t="s">
        <v>362</v>
      </c>
      <c r="F173" s="4">
        <v>42370</v>
      </c>
      <c r="G173" s="3"/>
      <c r="H173" s="3"/>
      <c r="I173" s="3" t="s">
        <v>7043</v>
      </c>
      <c r="J173" s="3"/>
      <c r="K173" s="3"/>
      <c r="L173" s="5"/>
    </row>
    <row r="174" spans="1:12" ht="28.8" x14ac:dyDescent="0.55000000000000004">
      <c r="A174" s="9" t="str">
        <f>HYPERLINK("PDF\FOIA-FWS-2020-00724-0000173.pdf","FOIA-FWS-2020-00724-0000173")</f>
        <v>FOIA-FWS-2020-00724-0000173</v>
      </c>
      <c r="B174" s="3" t="s">
        <v>363</v>
      </c>
      <c r="C174" s="3" t="s">
        <v>3</v>
      </c>
      <c r="D174" s="3" t="s">
        <v>4</v>
      </c>
      <c r="E174" s="3" t="s">
        <v>364</v>
      </c>
      <c r="F174" s="4">
        <v>42370</v>
      </c>
      <c r="G174" s="3"/>
      <c r="H174" s="3"/>
      <c r="I174" s="3" t="s">
        <v>7043</v>
      </c>
      <c r="J174" s="3"/>
      <c r="K174" s="3"/>
      <c r="L174" s="5"/>
    </row>
    <row r="175" spans="1:12" ht="43.2" x14ac:dyDescent="0.55000000000000004">
      <c r="A175" s="9" t="str">
        <f>HYPERLINK("PDF\FOIA-FWS-2020-00724-0000174.pdf","FOIA-FWS-2020-00724-0000174")</f>
        <v>FOIA-FWS-2020-00724-0000174</v>
      </c>
      <c r="B175" s="3" t="s">
        <v>365</v>
      </c>
      <c r="C175" s="3" t="s">
        <v>3</v>
      </c>
      <c r="D175" s="3" t="s">
        <v>4</v>
      </c>
      <c r="E175" s="3" t="s">
        <v>366</v>
      </c>
      <c r="F175" s="4">
        <v>42370</v>
      </c>
      <c r="G175" s="3"/>
      <c r="H175" s="3"/>
      <c r="I175" s="3" t="s">
        <v>7043</v>
      </c>
      <c r="J175" s="3"/>
      <c r="K175" s="3"/>
      <c r="L175" s="5"/>
    </row>
    <row r="176" spans="1:12" ht="28.8" x14ac:dyDescent="0.55000000000000004">
      <c r="A176" s="9" t="str">
        <f>HYPERLINK("PDF\FOIA-FWS-2020-00724-0000175.pdf","FOIA-FWS-2020-00724-0000175")</f>
        <v>FOIA-FWS-2020-00724-0000175</v>
      </c>
      <c r="B176" s="3" t="s">
        <v>367</v>
      </c>
      <c r="C176" s="3" t="s">
        <v>3</v>
      </c>
      <c r="D176" s="3" t="s">
        <v>4</v>
      </c>
      <c r="E176" s="3" t="s">
        <v>368</v>
      </c>
      <c r="F176" s="4">
        <v>42370</v>
      </c>
      <c r="G176" s="3"/>
      <c r="H176" s="3"/>
      <c r="I176" s="3" t="s">
        <v>7043</v>
      </c>
      <c r="J176" s="3"/>
      <c r="K176" s="3"/>
      <c r="L176" s="5"/>
    </row>
    <row r="177" spans="1:12" ht="28.8" x14ac:dyDescent="0.55000000000000004">
      <c r="A177" s="9" t="str">
        <f>HYPERLINK("PDF\FOIA-FWS-2020-00724-0000176.pdf","FOIA-FWS-2020-00724-0000176")</f>
        <v>FOIA-FWS-2020-00724-0000176</v>
      </c>
      <c r="B177" s="3" t="s">
        <v>369</v>
      </c>
      <c r="C177" s="3" t="s">
        <v>3</v>
      </c>
      <c r="D177" s="3" t="s">
        <v>4</v>
      </c>
      <c r="E177" s="3" t="s">
        <v>370</v>
      </c>
      <c r="F177" s="4">
        <v>42370</v>
      </c>
      <c r="G177" s="3"/>
      <c r="H177" s="3"/>
      <c r="I177" s="3" t="s">
        <v>7043</v>
      </c>
      <c r="J177" s="3"/>
      <c r="K177" s="3"/>
      <c r="L177" s="5"/>
    </row>
    <row r="178" spans="1:12" ht="28.8" x14ac:dyDescent="0.55000000000000004">
      <c r="A178" s="9" t="str">
        <f>HYPERLINK("PDF\FOIA-FWS-2020-00724-0000177.pdf","FOIA-FWS-2020-00724-0000177")</f>
        <v>FOIA-FWS-2020-00724-0000177</v>
      </c>
      <c r="B178" s="3" t="s">
        <v>371</v>
      </c>
      <c r="C178" s="3" t="s">
        <v>3</v>
      </c>
      <c r="D178" s="3" t="s">
        <v>4</v>
      </c>
      <c r="E178" s="3" t="s">
        <v>372</v>
      </c>
      <c r="F178" s="4">
        <v>42370</v>
      </c>
      <c r="G178" s="3"/>
      <c r="H178" s="3"/>
      <c r="I178" s="3" t="s">
        <v>7043</v>
      </c>
      <c r="J178" s="3"/>
      <c r="K178" s="3"/>
      <c r="L178" s="5"/>
    </row>
    <row r="179" spans="1:12" ht="28.8" x14ac:dyDescent="0.55000000000000004">
      <c r="A179" s="9" t="str">
        <f>HYPERLINK("PDF\FOIA-FWS-2020-00724-0000178.pdf","FOIA-FWS-2020-00724-0000178")</f>
        <v>FOIA-FWS-2020-00724-0000178</v>
      </c>
      <c r="B179" s="3" t="s">
        <v>373</v>
      </c>
      <c r="C179" s="3" t="s">
        <v>3</v>
      </c>
      <c r="D179" s="3" t="s">
        <v>4</v>
      </c>
      <c r="E179" s="3" t="s">
        <v>374</v>
      </c>
      <c r="F179" s="4">
        <v>42370</v>
      </c>
      <c r="G179" s="3"/>
      <c r="H179" s="3"/>
      <c r="I179" s="3" t="s">
        <v>7043</v>
      </c>
      <c r="J179" s="3"/>
      <c r="K179" s="3"/>
      <c r="L179" s="5"/>
    </row>
    <row r="180" spans="1:12" ht="28.8" x14ac:dyDescent="0.55000000000000004">
      <c r="A180" s="9" t="str">
        <f>HYPERLINK("PDF\FOIA-FWS-2020-00724-0000179.pdf","FOIA-FWS-2020-00724-0000179")</f>
        <v>FOIA-FWS-2020-00724-0000179</v>
      </c>
      <c r="B180" s="3" t="s">
        <v>375</v>
      </c>
      <c r="C180" s="3" t="s">
        <v>3</v>
      </c>
      <c r="D180" s="3" t="s">
        <v>160</v>
      </c>
      <c r="E180" s="3" t="s">
        <v>376</v>
      </c>
      <c r="F180" s="4">
        <v>42370</v>
      </c>
      <c r="G180" s="3"/>
      <c r="H180" s="3"/>
      <c r="I180" s="3" t="s">
        <v>7043</v>
      </c>
      <c r="J180" s="3"/>
      <c r="K180" s="3"/>
      <c r="L180" s="5"/>
    </row>
    <row r="181" spans="1:12" ht="28.8" x14ac:dyDescent="0.55000000000000004">
      <c r="A181" s="9" t="str">
        <f>HYPERLINK("PDF\FOIA-FWS-2020-00724-0000180.pdf","FOIA-FWS-2020-00724-0000180")</f>
        <v>FOIA-FWS-2020-00724-0000180</v>
      </c>
      <c r="B181" s="3" t="s">
        <v>377</v>
      </c>
      <c r="C181" s="3" t="s">
        <v>3</v>
      </c>
      <c r="D181" s="3" t="s">
        <v>4</v>
      </c>
      <c r="E181" s="3" t="s">
        <v>378</v>
      </c>
      <c r="F181" s="4">
        <v>42377</v>
      </c>
      <c r="G181" s="3"/>
      <c r="H181" s="3"/>
      <c r="I181" s="3" t="s">
        <v>7043</v>
      </c>
      <c r="J181" s="3"/>
      <c r="K181" s="3"/>
      <c r="L181" s="5"/>
    </row>
    <row r="182" spans="1:12" ht="28.8" x14ac:dyDescent="0.55000000000000004">
      <c r="A182" s="9" t="str">
        <f>HYPERLINK("PDF\FOIA-FWS-2020-00724-0000181.pdf","FOIA-FWS-2020-00724-0000181")</f>
        <v>FOIA-FWS-2020-00724-0000181</v>
      </c>
      <c r="B182" s="3" t="s">
        <v>379</v>
      </c>
      <c r="C182" s="3" t="s">
        <v>3</v>
      </c>
      <c r="D182" s="3" t="s">
        <v>4</v>
      </c>
      <c r="E182" s="3" t="s">
        <v>380</v>
      </c>
      <c r="F182" s="4">
        <v>42377</v>
      </c>
      <c r="G182" s="3"/>
      <c r="H182" s="3"/>
      <c r="I182" s="3" t="s">
        <v>7043</v>
      </c>
      <c r="J182" s="3"/>
      <c r="K182" s="3"/>
      <c r="L182" s="5"/>
    </row>
    <row r="183" spans="1:12" ht="28.8" x14ac:dyDescent="0.55000000000000004">
      <c r="A183" s="9" t="str">
        <f>HYPERLINK("PDF\FOIA-FWS-2020-00724-0000182.pdf","FOIA-FWS-2020-00724-0000182")</f>
        <v>FOIA-FWS-2020-00724-0000182</v>
      </c>
      <c r="B183" s="3" t="s">
        <v>381</v>
      </c>
      <c r="C183" s="3" t="s">
        <v>3</v>
      </c>
      <c r="D183" s="3" t="s">
        <v>4</v>
      </c>
      <c r="E183" s="3" t="s">
        <v>382</v>
      </c>
      <c r="F183" s="4">
        <v>42384</v>
      </c>
      <c r="G183" s="3"/>
      <c r="H183" s="3"/>
      <c r="I183" s="3" t="s">
        <v>7043</v>
      </c>
      <c r="J183" s="3"/>
      <c r="K183" s="3"/>
      <c r="L183" s="5"/>
    </row>
    <row r="184" spans="1:12" ht="43.2" x14ac:dyDescent="0.55000000000000004">
      <c r="A184" s="9" t="str">
        <f>HYPERLINK("PDF\FOIA-FWS-2020-00724-0000183.pdf","FOIA-FWS-2020-00724-0000183")</f>
        <v>FOIA-FWS-2020-00724-0000183</v>
      </c>
      <c r="B184" s="3" t="s">
        <v>383</v>
      </c>
      <c r="C184" s="3" t="s">
        <v>3</v>
      </c>
      <c r="D184" s="3" t="s">
        <v>4</v>
      </c>
      <c r="E184" s="3" t="s">
        <v>384</v>
      </c>
      <c r="F184" s="4">
        <v>42401</v>
      </c>
      <c r="G184" s="3"/>
      <c r="H184" s="3"/>
      <c r="I184" s="3" t="s">
        <v>7043</v>
      </c>
      <c r="J184" s="3"/>
      <c r="K184" s="3"/>
      <c r="L184" s="5"/>
    </row>
    <row r="185" spans="1:12" ht="28.8" x14ac:dyDescent="0.55000000000000004">
      <c r="A185" s="9" t="str">
        <f>HYPERLINK("PDF\FOIA-FWS-2020-00724-0000184.pdf","FOIA-FWS-2020-00724-0000184")</f>
        <v>FOIA-FWS-2020-00724-0000184</v>
      </c>
      <c r="B185" s="3" t="s">
        <v>385</v>
      </c>
      <c r="C185" s="3" t="s">
        <v>3</v>
      </c>
      <c r="D185" s="3" t="s">
        <v>4</v>
      </c>
      <c r="E185" s="3" t="s">
        <v>386</v>
      </c>
      <c r="F185" s="4">
        <v>42401</v>
      </c>
      <c r="G185" s="3"/>
      <c r="H185" s="3"/>
      <c r="I185" s="3" t="s">
        <v>7043</v>
      </c>
      <c r="J185" s="3"/>
      <c r="K185" s="3"/>
      <c r="L185" s="5"/>
    </row>
    <row r="186" spans="1:12" ht="28.8" x14ac:dyDescent="0.55000000000000004">
      <c r="A186" s="9" t="str">
        <f>HYPERLINK("PDF\FOIA-FWS-2020-00724-0000185.pdf","FOIA-FWS-2020-00724-0000185")</f>
        <v>FOIA-FWS-2020-00724-0000185</v>
      </c>
      <c r="B186" s="3" t="s">
        <v>387</v>
      </c>
      <c r="C186" s="3" t="s">
        <v>3</v>
      </c>
      <c r="D186" s="3" t="s">
        <v>33</v>
      </c>
      <c r="E186" s="3" t="s">
        <v>390</v>
      </c>
      <c r="F186" s="4">
        <v>42411</v>
      </c>
      <c r="G186" s="3" t="s">
        <v>388</v>
      </c>
      <c r="H186" s="3" t="s">
        <v>389</v>
      </c>
      <c r="I186" s="3" t="s">
        <v>7043</v>
      </c>
      <c r="J186" s="3"/>
      <c r="K186" s="3"/>
      <c r="L186" s="5"/>
    </row>
    <row r="187" spans="1:12" ht="72" x14ac:dyDescent="0.55000000000000004">
      <c r="A187" s="9" t="str">
        <f>HYPERLINK("PDF\FOIA-FWS-2020-00724-0000186.pdf","FOIA-FWS-2020-00724-0000186")</f>
        <v>FOIA-FWS-2020-00724-0000186</v>
      </c>
      <c r="B187" s="3" t="s">
        <v>391</v>
      </c>
      <c r="C187" s="3" t="s">
        <v>3</v>
      </c>
      <c r="D187" s="3" t="s">
        <v>4</v>
      </c>
      <c r="E187" s="3" t="s">
        <v>392</v>
      </c>
      <c r="F187" s="4">
        <v>42418</v>
      </c>
      <c r="G187" s="3"/>
      <c r="H187" s="3"/>
      <c r="I187" s="3" t="s">
        <v>7043</v>
      </c>
      <c r="J187" s="3"/>
      <c r="K187" s="3"/>
      <c r="L187" s="5"/>
    </row>
    <row r="188" spans="1:12" ht="28.8" x14ac:dyDescent="0.55000000000000004">
      <c r="A188" s="9" t="str">
        <f>HYPERLINK("PDF\FOIA-FWS-2020-00724-0000187.pdf","FOIA-FWS-2020-00724-0000187")</f>
        <v>FOIA-FWS-2020-00724-0000187</v>
      </c>
      <c r="B188" s="3" t="s">
        <v>393</v>
      </c>
      <c r="C188" s="3" t="s">
        <v>3</v>
      </c>
      <c r="D188" s="3" t="s">
        <v>38</v>
      </c>
      <c r="E188" s="3" t="s">
        <v>394</v>
      </c>
      <c r="F188" s="4">
        <v>42418</v>
      </c>
      <c r="G188" s="3"/>
      <c r="H188" s="3"/>
      <c r="I188" s="3" t="s">
        <v>7043</v>
      </c>
      <c r="J188" s="3"/>
      <c r="K188" s="3"/>
      <c r="L188" s="5"/>
    </row>
    <row r="189" spans="1:12" ht="28.8" x14ac:dyDescent="0.55000000000000004">
      <c r="A189" s="9" t="str">
        <f>HYPERLINK("PDF\FOIA-FWS-2020-00724-0000188.pdf","FOIA-FWS-2020-00724-0000188")</f>
        <v>FOIA-FWS-2020-00724-0000188</v>
      </c>
      <c r="B189" s="3" t="s">
        <v>395</v>
      </c>
      <c r="C189" s="3" t="s">
        <v>3</v>
      </c>
      <c r="D189" s="3" t="s">
        <v>4</v>
      </c>
      <c r="E189" s="3" t="s">
        <v>396</v>
      </c>
      <c r="F189" s="4">
        <v>42425</v>
      </c>
      <c r="G189" s="3"/>
      <c r="H189" s="3"/>
      <c r="I189" s="3" t="s">
        <v>7043</v>
      </c>
      <c r="J189" s="3"/>
      <c r="K189" s="3"/>
      <c r="L189" s="5"/>
    </row>
    <row r="190" spans="1:12" ht="28.8" x14ac:dyDescent="0.55000000000000004">
      <c r="A190" s="9" t="str">
        <f>HYPERLINK("PDF\FOIA-FWS-2020-00724-0000189.pdf","FOIA-FWS-2020-00724-0000189")</f>
        <v>FOIA-FWS-2020-00724-0000189</v>
      </c>
      <c r="B190" s="3" t="s">
        <v>397</v>
      </c>
      <c r="C190" s="3" t="s">
        <v>3</v>
      </c>
      <c r="D190" s="3" t="s">
        <v>38</v>
      </c>
      <c r="E190" s="3" t="s">
        <v>398</v>
      </c>
      <c r="F190" s="4">
        <v>42426</v>
      </c>
      <c r="G190" s="3"/>
      <c r="H190" s="3"/>
      <c r="I190" s="3" t="s">
        <v>7043</v>
      </c>
      <c r="J190" s="3"/>
      <c r="K190" s="3"/>
      <c r="L190" s="5"/>
    </row>
    <row r="191" spans="1:12" ht="28.8" x14ac:dyDescent="0.55000000000000004">
      <c r="A191" s="9" t="str">
        <f>HYPERLINK("PDF\FOIA-FWS-2020-00724-0000190.pdf","FOIA-FWS-2020-00724-0000190")</f>
        <v>FOIA-FWS-2020-00724-0000190</v>
      </c>
      <c r="B191" s="3" t="s">
        <v>399</v>
      </c>
      <c r="C191" s="3" t="s">
        <v>3</v>
      </c>
      <c r="D191" s="3" t="s">
        <v>33</v>
      </c>
      <c r="E191" s="3" t="s">
        <v>400</v>
      </c>
      <c r="F191" s="4">
        <v>42430</v>
      </c>
      <c r="G191" s="3"/>
      <c r="H191" s="3"/>
      <c r="I191" s="3" t="s">
        <v>7043</v>
      </c>
      <c r="J191" s="3"/>
      <c r="K191" s="3"/>
      <c r="L191" s="5"/>
    </row>
    <row r="192" spans="1:12" ht="28.8" x14ac:dyDescent="0.55000000000000004">
      <c r="A192" s="9" t="str">
        <f>HYPERLINK("PDF\FOIA-FWS-2020-00724-0000191.pdf","FOIA-FWS-2020-00724-0000191")</f>
        <v>FOIA-FWS-2020-00724-0000191</v>
      </c>
      <c r="B192" s="3" t="s">
        <v>401</v>
      </c>
      <c r="C192" s="3" t="s">
        <v>3</v>
      </c>
      <c r="D192" s="3" t="s">
        <v>4</v>
      </c>
      <c r="E192" s="3" t="s">
        <v>402</v>
      </c>
      <c r="F192" s="4">
        <v>42430</v>
      </c>
      <c r="G192" s="3"/>
      <c r="H192" s="3"/>
      <c r="I192" s="3" t="s">
        <v>7043</v>
      </c>
      <c r="J192" s="3"/>
      <c r="K192" s="3"/>
      <c r="L192" s="5"/>
    </row>
    <row r="193" spans="1:12" ht="28.8" x14ac:dyDescent="0.55000000000000004">
      <c r="A193" s="9" t="str">
        <f>HYPERLINK("PDF\FOIA-FWS-2020-00724-0000192.pdf","FOIA-FWS-2020-00724-0000192")</f>
        <v>FOIA-FWS-2020-00724-0000192</v>
      </c>
      <c r="B193" s="3" t="s">
        <v>403</v>
      </c>
      <c r="C193" s="3" t="s">
        <v>3</v>
      </c>
      <c r="D193" s="3" t="s">
        <v>4</v>
      </c>
      <c r="E193" s="3" t="s">
        <v>404</v>
      </c>
      <c r="F193" s="4">
        <v>42430</v>
      </c>
      <c r="G193" s="3"/>
      <c r="H193" s="3"/>
      <c r="I193" s="3" t="s">
        <v>7043</v>
      </c>
      <c r="J193" s="3"/>
      <c r="K193" s="3"/>
      <c r="L193" s="5"/>
    </row>
    <row r="194" spans="1:12" ht="43.2" x14ac:dyDescent="0.55000000000000004">
      <c r="A194" s="9" t="str">
        <f>HYPERLINK("PDF\FOIA-FWS-2020-00724-0000193.pdf","FOIA-FWS-2020-00724-0000193")</f>
        <v>FOIA-FWS-2020-00724-0000193</v>
      </c>
      <c r="B194" s="3" t="s">
        <v>405</v>
      </c>
      <c r="C194" s="3" t="s">
        <v>3</v>
      </c>
      <c r="D194" s="3" t="s">
        <v>4</v>
      </c>
      <c r="E194" s="3" t="s">
        <v>406</v>
      </c>
      <c r="F194" s="4">
        <v>42435</v>
      </c>
      <c r="G194" s="3"/>
      <c r="H194" s="3"/>
      <c r="I194" s="3" t="s">
        <v>7043</v>
      </c>
      <c r="J194" s="3"/>
      <c r="K194" s="3"/>
      <c r="L194" s="5"/>
    </row>
    <row r="195" spans="1:12" ht="28.8" x14ac:dyDescent="0.55000000000000004">
      <c r="A195" s="9" t="str">
        <f>HYPERLINK("PDF\FOIA-FWS-2020-00724-0000194.pdf","FOIA-FWS-2020-00724-0000194")</f>
        <v>FOIA-FWS-2020-00724-0000194</v>
      </c>
      <c r="B195" s="3" t="s">
        <v>407</v>
      </c>
      <c r="C195" s="3" t="s">
        <v>3</v>
      </c>
      <c r="D195" s="3" t="s">
        <v>4</v>
      </c>
      <c r="E195" s="3" t="s">
        <v>408</v>
      </c>
      <c r="F195" s="4">
        <v>42438</v>
      </c>
      <c r="G195" s="3"/>
      <c r="H195" s="3"/>
      <c r="I195" s="3" t="s">
        <v>7043</v>
      </c>
      <c r="J195" s="3"/>
      <c r="K195" s="3"/>
      <c r="L195" s="5"/>
    </row>
    <row r="196" spans="1:12" ht="43.2" x14ac:dyDescent="0.55000000000000004">
      <c r="A196" s="9" t="str">
        <f>HYPERLINK("PDF\FOIA-FWS-2020-00724-0000195.pdf","FOIA-FWS-2020-00724-0000195")</f>
        <v>FOIA-FWS-2020-00724-0000195</v>
      </c>
      <c r="B196" s="3" t="s">
        <v>409</v>
      </c>
      <c r="C196" s="3" t="s">
        <v>3</v>
      </c>
      <c r="D196" s="3" t="s">
        <v>4</v>
      </c>
      <c r="E196" s="3" t="s">
        <v>410</v>
      </c>
      <c r="F196" s="4">
        <v>42452</v>
      </c>
      <c r="G196" s="3"/>
      <c r="H196" s="3"/>
      <c r="I196" s="3" t="s">
        <v>7043</v>
      </c>
      <c r="J196" s="3"/>
      <c r="K196" s="3"/>
      <c r="L196" s="5"/>
    </row>
    <row r="197" spans="1:12" ht="28.8" x14ac:dyDescent="0.55000000000000004">
      <c r="A197" s="9" t="str">
        <f>HYPERLINK("PDF\FOIA-FWS-2020-00724-0000196.pdf","FOIA-FWS-2020-00724-0000196")</f>
        <v>FOIA-FWS-2020-00724-0000196</v>
      </c>
      <c r="B197" s="3" t="s">
        <v>411</v>
      </c>
      <c r="C197" s="3" t="s">
        <v>3</v>
      </c>
      <c r="D197" s="3" t="s">
        <v>4</v>
      </c>
      <c r="E197" s="3" t="s">
        <v>412</v>
      </c>
      <c r="F197" s="4">
        <v>42453</v>
      </c>
      <c r="G197" s="3"/>
      <c r="H197" s="3"/>
      <c r="I197" s="3" t="s">
        <v>7043</v>
      </c>
      <c r="J197" s="3"/>
      <c r="K197" s="3"/>
      <c r="L197" s="5"/>
    </row>
    <row r="198" spans="1:12" ht="28.8" x14ac:dyDescent="0.55000000000000004">
      <c r="A198" s="9" t="str">
        <f>HYPERLINK("PDF\FOIA-FWS-2020-00724-0000197.pdf","FOIA-FWS-2020-00724-0000197")</f>
        <v>FOIA-FWS-2020-00724-0000197</v>
      </c>
      <c r="B198" s="3" t="s">
        <v>413</v>
      </c>
      <c r="C198" s="3" t="s">
        <v>3</v>
      </c>
      <c r="D198" s="3" t="s">
        <v>4</v>
      </c>
      <c r="E198" s="3" t="s">
        <v>414</v>
      </c>
      <c r="F198" s="4">
        <v>42458</v>
      </c>
      <c r="G198" s="3"/>
      <c r="H198" s="3"/>
      <c r="I198" s="3" t="s">
        <v>7043</v>
      </c>
      <c r="J198" s="3"/>
      <c r="K198" s="3"/>
      <c r="L198" s="5"/>
    </row>
    <row r="199" spans="1:12" ht="28.8" x14ac:dyDescent="0.55000000000000004">
      <c r="A199" s="9" t="str">
        <f>HYPERLINK("PDF\FOIA-FWS-2020-00724-0000198.pdf","FOIA-FWS-2020-00724-0000198")</f>
        <v>FOIA-FWS-2020-00724-0000198</v>
      </c>
      <c r="B199" s="3" t="s">
        <v>415</v>
      </c>
      <c r="C199" s="3" t="s">
        <v>3</v>
      </c>
      <c r="D199" s="3" t="s">
        <v>51</v>
      </c>
      <c r="E199" s="3" t="s">
        <v>416</v>
      </c>
      <c r="F199" s="4">
        <v>42461</v>
      </c>
      <c r="G199" s="3"/>
      <c r="H199" s="3"/>
      <c r="I199" s="3" t="s">
        <v>7043</v>
      </c>
      <c r="J199" s="3"/>
      <c r="K199" s="3"/>
      <c r="L199" s="5"/>
    </row>
    <row r="200" spans="1:12" ht="28.8" x14ac:dyDescent="0.55000000000000004">
      <c r="A200" s="9" t="str">
        <f>HYPERLINK("PDF\FOIA-FWS-2020-00724-0000199.pdf","FOIA-FWS-2020-00724-0000199")</f>
        <v>FOIA-FWS-2020-00724-0000199</v>
      </c>
      <c r="B200" s="3" t="s">
        <v>417</v>
      </c>
      <c r="C200" s="3" t="s">
        <v>3</v>
      </c>
      <c r="D200" s="3" t="s">
        <v>4</v>
      </c>
      <c r="E200" s="3" t="s">
        <v>418</v>
      </c>
      <c r="F200" s="4">
        <v>42461</v>
      </c>
      <c r="G200" s="3"/>
      <c r="H200" s="3"/>
      <c r="I200" s="3" t="s">
        <v>7043</v>
      </c>
      <c r="J200" s="3"/>
      <c r="K200" s="3"/>
      <c r="L200" s="5"/>
    </row>
    <row r="201" spans="1:12" ht="28.8" x14ac:dyDescent="0.55000000000000004">
      <c r="A201" s="9" t="str">
        <f>HYPERLINK("PDF\FOIA-FWS-2020-00724-0000200.pdf","FOIA-FWS-2020-00724-0000200")</f>
        <v>FOIA-FWS-2020-00724-0000200</v>
      </c>
      <c r="B201" s="3" t="s">
        <v>419</v>
      </c>
      <c r="C201" s="3" t="s">
        <v>3</v>
      </c>
      <c r="D201" s="3" t="s">
        <v>33</v>
      </c>
      <c r="E201" s="3" t="s">
        <v>420</v>
      </c>
      <c r="F201" s="4">
        <v>42474</v>
      </c>
      <c r="G201" s="3"/>
      <c r="H201" s="3"/>
      <c r="I201" s="3" t="s">
        <v>7043</v>
      </c>
      <c r="J201" s="3"/>
      <c r="K201" s="3"/>
      <c r="L201" s="5"/>
    </row>
    <row r="202" spans="1:12" ht="28.8" x14ac:dyDescent="0.55000000000000004">
      <c r="A202" s="9" t="str">
        <f>HYPERLINK("PDF\FOIA-FWS-2020-00724-0000201.pdf","FOIA-FWS-2020-00724-0000201")</f>
        <v>FOIA-FWS-2020-00724-0000201</v>
      </c>
      <c r="B202" s="3" t="s">
        <v>421</v>
      </c>
      <c r="C202" s="3" t="s">
        <v>3</v>
      </c>
      <c r="D202" s="3" t="s">
        <v>51</v>
      </c>
      <c r="E202" s="3" t="s">
        <v>422</v>
      </c>
      <c r="F202" s="4">
        <v>42478</v>
      </c>
      <c r="G202" s="3"/>
      <c r="H202" s="3"/>
      <c r="I202" s="3" t="s">
        <v>7043</v>
      </c>
      <c r="J202" s="3"/>
      <c r="K202" s="3"/>
      <c r="L202" s="5"/>
    </row>
    <row r="203" spans="1:12" ht="28.8" x14ac:dyDescent="0.55000000000000004">
      <c r="A203" s="9" t="str">
        <f>HYPERLINK("PDF\FOIA-FWS-2020-00724-0000202.pdf","FOIA-FWS-2020-00724-0000202")</f>
        <v>FOIA-FWS-2020-00724-0000202</v>
      </c>
      <c r="B203" s="3" t="s">
        <v>423</v>
      </c>
      <c r="C203" s="3" t="s">
        <v>3</v>
      </c>
      <c r="D203" s="3" t="s">
        <v>51</v>
      </c>
      <c r="E203" s="3" t="s">
        <v>424</v>
      </c>
      <c r="F203" s="4">
        <v>42478</v>
      </c>
      <c r="G203" s="3"/>
      <c r="H203" s="3"/>
      <c r="I203" s="3" t="s">
        <v>7043</v>
      </c>
      <c r="J203" s="3"/>
      <c r="K203" s="3"/>
      <c r="L203" s="5"/>
    </row>
    <row r="204" spans="1:12" ht="28.8" x14ac:dyDescent="0.55000000000000004">
      <c r="A204" s="9" t="str">
        <f>HYPERLINK("PDF\FOIA-FWS-2020-00724-0000203.pdf","FOIA-FWS-2020-00724-0000203")</f>
        <v>FOIA-FWS-2020-00724-0000203</v>
      </c>
      <c r="B204" s="3" t="s">
        <v>425</v>
      </c>
      <c r="C204" s="3" t="s">
        <v>3</v>
      </c>
      <c r="D204" s="3" t="s">
        <v>4</v>
      </c>
      <c r="E204" s="3" t="s">
        <v>426</v>
      </c>
      <c r="F204" s="4">
        <v>42481</v>
      </c>
      <c r="G204" s="3"/>
      <c r="H204" s="3"/>
      <c r="I204" s="3" t="s">
        <v>7043</v>
      </c>
      <c r="J204" s="3"/>
      <c r="K204" s="3"/>
      <c r="L204" s="5"/>
    </row>
    <row r="205" spans="1:12" ht="28.8" x14ac:dyDescent="0.55000000000000004">
      <c r="A205" s="9" t="str">
        <f>HYPERLINK("PDF\FOIA-FWS-2020-00724-0000204.pdf","FOIA-FWS-2020-00724-0000204")</f>
        <v>FOIA-FWS-2020-00724-0000204</v>
      </c>
      <c r="B205" s="3" t="s">
        <v>427</v>
      </c>
      <c r="C205" s="3" t="s">
        <v>3</v>
      </c>
      <c r="D205" s="3" t="s">
        <v>4</v>
      </c>
      <c r="E205" s="3" t="s">
        <v>428</v>
      </c>
      <c r="F205" s="4">
        <v>42481</v>
      </c>
      <c r="G205" s="3"/>
      <c r="H205" s="3"/>
      <c r="I205" s="3" t="s">
        <v>7043</v>
      </c>
      <c r="J205" s="3"/>
      <c r="K205" s="3"/>
      <c r="L205" s="5"/>
    </row>
    <row r="206" spans="1:12" ht="28.8" x14ac:dyDescent="0.55000000000000004">
      <c r="A206" s="9" t="str">
        <f>HYPERLINK("PDF\FOIA-FWS-2020-00724-0000205.pdf","FOIA-FWS-2020-00724-0000205")</f>
        <v>FOIA-FWS-2020-00724-0000205</v>
      </c>
      <c r="B206" s="3" t="s">
        <v>429</v>
      </c>
      <c r="C206" s="3" t="s">
        <v>3</v>
      </c>
      <c r="D206" s="3" t="s">
        <v>4</v>
      </c>
      <c r="E206" s="3" t="s">
        <v>430</v>
      </c>
      <c r="F206" s="4">
        <v>42491</v>
      </c>
      <c r="G206" s="3"/>
      <c r="H206" s="3"/>
      <c r="I206" s="3" t="s">
        <v>7043</v>
      </c>
      <c r="J206" s="3"/>
      <c r="K206" s="3"/>
      <c r="L206" s="5"/>
    </row>
    <row r="207" spans="1:12" ht="28.8" x14ac:dyDescent="0.55000000000000004">
      <c r="A207" s="9" t="str">
        <f>HYPERLINK("PDF\FOIA-FWS-2020-00724-0000206.pdf","FOIA-FWS-2020-00724-0000206")</f>
        <v>FOIA-FWS-2020-00724-0000206</v>
      </c>
      <c r="B207" s="3" t="s">
        <v>431</v>
      </c>
      <c r="C207" s="3" t="s">
        <v>3</v>
      </c>
      <c r="D207" s="3" t="s">
        <v>38</v>
      </c>
      <c r="E207" s="3" t="s">
        <v>432</v>
      </c>
      <c r="F207" s="4">
        <v>42509</v>
      </c>
      <c r="G207" s="3"/>
      <c r="H207" s="3"/>
      <c r="I207" s="3" t="s">
        <v>7043</v>
      </c>
      <c r="J207" s="3"/>
      <c r="K207" s="3"/>
      <c r="L207" s="5"/>
    </row>
    <row r="208" spans="1:12" ht="43.2" x14ac:dyDescent="0.55000000000000004">
      <c r="A208" s="9" t="str">
        <f>HYPERLINK("PDF\FOIA-FWS-2020-00724-0000207.pdf","FOIA-FWS-2020-00724-0000207")</f>
        <v>FOIA-FWS-2020-00724-0000207</v>
      </c>
      <c r="B208" s="3" t="s">
        <v>433</v>
      </c>
      <c r="C208" s="3" t="s">
        <v>3</v>
      </c>
      <c r="D208" s="3" t="s">
        <v>4</v>
      </c>
      <c r="E208" s="3" t="s">
        <v>434</v>
      </c>
      <c r="F208" s="4">
        <v>42543</v>
      </c>
      <c r="G208" s="3"/>
      <c r="H208" s="3"/>
      <c r="I208" s="3" t="s">
        <v>7043</v>
      </c>
      <c r="J208" s="3"/>
      <c r="K208" s="3"/>
      <c r="L208" s="5"/>
    </row>
    <row r="209" spans="1:12" ht="28.8" x14ac:dyDescent="0.55000000000000004">
      <c r="A209" s="9" t="str">
        <f>HYPERLINK("PDF\FOIA-FWS-2020-00724-0000208.pdf","FOIA-FWS-2020-00724-0000208")</f>
        <v>FOIA-FWS-2020-00724-0000208</v>
      </c>
      <c r="B209" s="3" t="s">
        <v>435</v>
      </c>
      <c r="C209" s="3" t="s">
        <v>3</v>
      </c>
      <c r="D209" s="3" t="s">
        <v>4</v>
      </c>
      <c r="E209" s="3" t="s">
        <v>436</v>
      </c>
      <c r="F209" s="4">
        <v>42552</v>
      </c>
      <c r="G209" s="3"/>
      <c r="H209" s="3"/>
      <c r="I209" s="3" t="s">
        <v>7043</v>
      </c>
      <c r="J209" s="3"/>
      <c r="K209" s="3"/>
      <c r="L209" s="5"/>
    </row>
    <row r="210" spans="1:12" ht="28.8" x14ac:dyDescent="0.55000000000000004">
      <c r="A210" s="9" t="str">
        <f>HYPERLINK("PDF\FOIA-FWS-2020-00724-0000209.pdf","FOIA-FWS-2020-00724-0000209")</f>
        <v>FOIA-FWS-2020-00724-0000209</v>
      </c>
      <c r="B210" s="3" t="s">
        <v>437</v>
      </c>
      <c r="C210" s="3" t="s">
        <v>3</v>
      </c>
      <c r="D210" s="3" t="s">
        <v>4</v>
      </c>
      <c r="E210" s="3" t="s">
        <v>438</v>
      </c>
      <c r="F210" s="4">
        <v>42552</v>
      </c>
      <c r="G210" s="3"/>
      <c r="H210" s="3"/>
      <c r="I210" s="3" t="s">
        <v>7043</v>
      </c>
      <c r="J210" s="3"/>
      <c r="K210" s="3"/>
      <c r="L210" s="5"/>
    </row>
    <row r="211" spans="1:12" ht="28.8" x14ac:dyDescent="0.55000000000000004">
      <c r="A211" s="9" t="str">
        <f>HYPERLINK("PDF\FOIA-FWS-2020-00724-0000210.pdf","FOIA-FWS-2020-00724-0000210")</f>
        <v>FOIA-FWS-2020-00724-0000210</v>
      </c>
      <c r="B211" s="3" t="s">
        <v>439</v>
      </c>
      <c r="C211" s="3" t="s">
        <v>3</v>
      </c>
      <c r="D211" s="3" t="s">
        <v>4</v>
      </c>
      <c r="E211" s="3" t="s">
        <v>440</v>
      </c>
      <c r="F211" s="4">
        <v>42587</v>
      </c>
      <c r="G211" s="3"/>
      <c r="H211" s="3"/>
      <c r="I211" s="3" t="s">
        <v>7043</v>
      </c>
      <c r="J211" s="3"/>
      <c r="K211" s="3"/>
      <c r="L211" s="5"/>
    </row>
    <row r="212" spans="1:12" ht="28.8" x14ac:dyDescent="0.55000000000000004">
      <c r="A212" s="9" t="str">
        <f>HYPERLINK("PDF\FOIA-FWS-2020-00724-0000211.pdf","FOIA-FWS-2020-00724-0000211")</f>
        <v>FOIA-FWS-2020-00724-0000211</v>
      </c>
      <c r="B212" s="3" t="s">
        <v>441</v>
      </c>
      <c r="C212" s="3" t="s">
        <v>3</v>
      </c>
      <c r="D212" s="3" t="s">
        <v>4</v>
      </c>
      <c r="E212" s="3" t="s">
        <v>442</v>
      </c>
      <c r="F212" s="4">
        <v>42587</v>
      </c>
      <c r="G212" s="3"/>
      <c r="H212" s="3"/>
      <c r="I212" s="3" t="s">
        <v>7043</v>
      </c>
      <c r="J212" s="3"/>
      <c r="K212" s="3"/>
      <c r="L212" s="5"/>
    </row>
    <row r="213" spans="1:12" ht="28.8" x14ac:dyDescent="0.55000000000000004">
      <c r="A213" s="9" t="str">
        <f>HYPERLINK("PDF\FOIA-FWS-2020-00724-0000212.pdf","FOIA-FWS-2020-00724-0000212")</f>
        <v>FOIA-FWS-2020-00724-0000212</v>
      </c>
      <c r="B213" s="3" t="s">
        <v>443</v>
      </c>
      <c r="C213" s="3" t="s">
        <v>3</v>
      </c>
      <c r="D213" s="3" t="s">
        <v>4</v>
      </c>
      <c r="E213" s="3" t="s">
        <v>444</v>
      </c>
      <c r="F213" s="4">
        <v>42587</v>
      </c>
      <c r="G213" s="3"/>
      <c r="H213" s="3"/>
      <c r="I213" s="3" t="s">
        <v>7043</v>
      </c>
      <c r="J213" s="3"/>
      <c r="K213" s="3"/>
      <c r="L213" s="5"/>
    </row>
    <row r="214" spans="1:12" ht="28.8" x14ac:dyDescent="0.55000000000000004">
      <c r="A214" s="9" t="str">
        <f>HYPERLINK("PDF\FOIA-FWS-2020-00724-0000213.pdf","FOIA-FWS-2020-00724-0000213")</f>
        <v>FOIA-FWS-2020-00724-0000213</v>
      </c>
      <c r="B214" s="3" t="s">
        <v>445</v>
      </c>
      <c r="C214" s="3" t="s">
        <v>3</v>
      </c>
      <c r="D214" s="3" t="s">
        <v>4</v>
      </c>
      <c r="E214" s="3" t="s">
        <v>446</v>
      </c>
      <c r="F214" s="4">
        <v>42599</v>
      </c>
      <c r="G214" s="3"/>
      <c r="H214" s="3"/>
      <c r="I214" s="3" t="s">
        <v>7043</v>
      </c>
      <c r="J214" s="3"/>
      <c r="K214" s="3"/>
      <c r="L214" s="5"/>
    </row>
    <row r="215" spans="1:12" ht="28.8" x14ac:dyDescent="0.55000000000000004">
      <c r="A215" s="9" t="str">
        <f>HYPERLINK("PDF\FOIA-FWS-2020-00724-0000214.pdf","FOIA-FWS-2020-00724-0000214")</f>
        <v>FOIA-FWS-2020-00724-0000214</v>
      </c>
      <c r="B215" s="3" t="s">
        <v>447</v>
      </c>
      <c r="C215" s="3" t="s">
        <v>3</v>
      </c>
      <c r="D215" s="3" t="s">
        <v>4</v>
      </c>
      <c r="E215" s="3" t="s">
        <v>448</v>
      </c>
      <c r="F215" s="4">
        <v>42605</v>
      </c>
      <c r="G215" s="3"/>
      <c r="H215" s="3"/>
      <c r="I215" s="3" t="s">
        <v>7043</v>
      </c>
      <c r="J215" s="3"/>
      <c r="K215" s="3"/>
      <c r="L215" s="5"/>
    </row>
    <row r="216" spans="1:12" ht="28.8" x14ac:dyDescent="0.55000000000000004">
      <c r="A216" s="9" t="str">
        <f>HYPERLINK("PDF\FOIA-FWS-2020-00724-0000215.pdf","FOIA-FWS-2020-00724-0000215")</f>
        <v>FOIA-FWS-2020-00724-0000215</v>
      </c>
      <c r="B216" s="3" t="s">
        <v>449</v>
      </c>
      <c r="C216" s="3" t="s">
        <v>3</v>
      </c>
      <c r="D216" s="3" t="s">
        <v>33</v>
      </c>
      <c r="E216" s="3" t="s">
        <v>450</v>
      </c>
      <c r="F216" s="4">
        <v>42614</v>
      </c>
      <c r="G216" s="3"/>
      <c r="H216" s="3"/>
      <c r="I216" s="3" t="s">
        <v>7043</v>
      </c>
      <c r="J216" s="3"/>
      <c r="K216" s="3"/>
      <c r="L216" s="5"/>
    </row>
    <row r="217" spans="1:12" ht="28.8" x14ac:dyDescent="0.55000000000000004">
      <c r="A217" s="9" t="str">
        <f>HYPERLINK("PDF\FOIA-FWS-2020-00724-0000216.pdf","FOIA-FWS-2020-00724-0000216")</f>
        <v>FOIA-FWS-2020-00724-0000216</v>
      </c>
      <c r="B217" s="3" t="s">
        <v>451</v>
      </c>
      <c r="C217" s="3" t="s">
        <v>3</v>
      </c>
      <c r="D217" s="3" t="s">
        <v>4</v>
      </c>
      <c r="E217" s="3" t="s">
        <v>452</v>
      </c>
      <c r="F217" s="4">
        <v>42628</v>
      </c>
      <c r="G217" s="3"/>
      <c r="H217" s="3"/>
      <c r="I217" s="3" t="s">
        <v>7043</v>
      </c>
      <c r="J217" s="3"/>
      <c r="K217" s="3"/>
      <c r="L217" s="5"/>
    </row>
    <row r="218" spans="1:12" ht="28.8" x14ac:dyDescent="0.55000000000000004">
      <c r="A218" s="9" t="str">
        <f>HYPERLINK("PDF\FOIA-FWS-2020-00724-0000217.pdf","FOIA-FWS-2020-00724-0000217")</f>
        <v>FOIA-FWS-2020-00724-0000217</v>
      </c>
      <c r="B218" s="3" t="s">
        <v>453</v>
      </c>
      <c r="C218" s="3" t="s">
        <v>3</v>
      </c>
      <c r="D218" s="3" t="s">
        <v>4</v>
      </c>
      <c r="E218" s="3" t="s">
        <v>454</v>
      </c>
      <c r="F218" s="4">
        <v>42628</v>
      </c>
      <c r="G218" s="3"/>
      <c r="H218" s="3"/>
      <c r="I218" s="3" t="s">
        <v>7043</v>
      </c>
      <c r="J218" s="3"/>
      <c r="K218" s="3"/>
      <c r="L218" s="5"/>
    </row>
    <row r="219" spans="1:12" ht="28.8" x14ac:dyDescent="0.55000000000000004">
      <c r="A219" s="9" t="str">
        <f>HYPERLINK("PDF\FOIA-FWS-2020-00724-0000218.pdf","FOIA-FWS-2020-00724-0000218")</f>
        <v>FOIA-FWS-2020-00724-0000218</v>
      </c>
      <c r="B219" s="3" t="s">
        <v>455</v>
      </c>
      <c r="C219" s="3" t="s">
        <v>3</v>
      </c>
      <c r="D219" s="3" t="s">
        <v>4</v>
      </c>
      <c r="E219" s="3" t="s">
        <v>456</v>
      </c>
      <c r="F219" s="4">
        <v>42628</v>
      </c>
      <c r="G219" s="3"/>
      <c r="H219" s="3"/>
      <c r="I219" s="3" t="s">
        <v>7043</v>
      </c>
      <c r="J219" s="3"/>
      <c r="K219" s="3"/>
      <c r="L219" s="5"/>
    </row>
    <row r="220" spans="1:12" ht="28.8" x14ac:dyDescent="0.55000000000000004">
      <c r="A220" s="9" t="str">
        <f>HYPERLINK("PDF\FOIA-FWS-2020-00724-0000219.pdf","FOIA-FWS-2020-00724-0000219")</f>
        <v>FOIA-FWS-2020-00724-0000219</v>
      </c>
      <c r="B220" s="3" t="s">
        <v>457</v>
      </c>
      <c r="C220" s="3" t="s">
        <v>3</v>
      </c>
      <c r="D220" s="3" t="s">
        <v>4</v>
      </c>
      <c r="E220" s="3" t="s">
        <v>458</v>
      </c>
      <c r="F220" s="4">
        <v>42644</v>
      </c>
      <c r="G220" s="3"/>
      <c r="H220" s="3"/>
      <c r="I220" s="3" t="s">
        <v>7043</v>
      </c>
      <c r="J220" s="3"/>
      <c r="K220" s="3"/>
      <c r="L220" s="5"/>
    </row>
    <row r="221" spans="1:12" ht="28.8" x14ac:dyDescent="0.55000000000000004">
      <c r="A221" s="9" t="str">
        <f>HYPERLINK("PDF\FOIA-FWS-2020-00724-0000220.pdf","FOIA-FWS-2020-00724-0000220")</f>
        <v>FOIA-FWS-2020-00724-0000220</v>
      </c>
      <c r="B221" s="3" t="s">
        <v>459</v>
      </c>
      <c r="C221" s="3" t="s">
        <v>3</v>
      </c>
      <c r="D221" s="3" t="s">
        <v>4</v>
      </c>
      <c r="E221" s="3" t="s">
        <v>460</v>
      </c>
      <c r="F221" s="4">
        <v>42660</v>
      </c>
      <c r="G221" s="3"/>
      <c r="H221" s="3"/>
      <c r="I221" s="3" t="s">
        <v>7043</v>
      </c>
      <c r="J221" s="3"/>
      <c r="K221" s="3"/>
      <c r="L221" s="5"/>
    </row>
    <row r="222" spans="1:12" ht="28.8" x14ac:dyDescent="0.55000000000000004">
      <c r="A222" s="9" t="str">
        <f>HYPERLINK("PDF\FOIA-FWS-2020-00724-0000221.pdf","FOIA-FWS-2020-00724-0000221")</f>
        <v>FOIA-FWS-2020-00724-0000221</v>
      </c>
      <c r="B222" s="3" t="s">
        <v>461</v>
      </c>
      <c r="C222" s="3" t="s">
        <v>3</v>
      </c>
      <c r="D222" s="3" t="s">
        <v>33</v>
      </c>
      <c r="E222" s="3" t="s">
        <v>462</v>
      </c>
      <c r="F222" s="4">
        <v>42675</v>
      </c>
      <c r="G222" s="3"/>
      <c r="H222" s="3"/>
      <c r="I222" s="3" t="s">
        <v>7043</v>
      </c>
      <c r="J222" s="3"/>
      <c r="K222" s="3"/>
      <c r="L222" s="5"/>
    </row>
    <row r="223" spans="1:12" ht="28.8" x14ac:dyDescent="0.55000000000000004">
      <c r="A223" s="9" t="str">
        <f>HYPERLINK("PDF\FOIA-FWS-2020-00724-0000222.pdf","FOIA-FWS-2020-00724-0000222")</f>
        <v>FOIA-FWS-2020-00724-0000222</v>
      </c>
      <c r="B223" s="3" t="s">
        <v>463</v>
      </c>
      <c r="C223" s="3" t="s">
        <v>3</v>
      </c>
      <c r="D223" s="3" t="s">
        <v>33</v>
      </c>
      <c r="E223" s="3" t="s">
        <v>464</v>
      </c>
      <c r="F223" s="4">
        <v>42688</v>
      </c>
      <c r="G223" s="3"/>
      <c r="H223" s="3"/>
      <c r="I223" s="3" t="s">
        <v>7043</v>
      </c>
      <c r="J223" s="3"/>
      <c r="K223" s="3"/>
      <c r="L223" s="5"/>
    </row>
    <row r="224" spans="1:12" ht="28.8" x14ac:dyDescent="0.55000000000000004">
      <c r="A224" s="9" t="str">
        <f>HYPERLINK("PDF\FOIA-FWS-2020-00724-0000223.pdf","FOIA-FWS-2020-00724-0000223")</f>
        <v>FOIA-FWS-2020-00724-0000223</v>
      </c>
      <c r="B224" s="3" t="s">
        <v>465</v>
      </c>
      <c r="C224" s="3" t="s">
        <v>3</v>
      </c>
      <c r="D224" s="3" t="s">
        <v>4</v>
      </c>
      <c r="E224" s="3" t="s">
        <v>466</v>
      </c>
      <c r="F224" s="4">
        <v>42716</v>
      </c>
      <c r="G224" s="3"/>
      <c r="H224" s="3"/>
      <c r="I224" s="3" t="s">
        <v>7043</v>
      </c>
      <c r="J224" s="3"/>
      <c r="K224" s="3"/>
      <c r="L224" s="5"/>
    </row>
    <row r="225" spans="1:12" ht="28.8" x14ac:dyDescent="0.55000000000000004">
      <c r="A225" s="9" t="str">
        <f>HYPERLINK("PDF\FOIA-FWS-2020-00724-0000224.pdf","FOIA-FWS-2020-00724-0000224")</f>
        <v>FOIA-FWS-2020-00724-0000224</v>
      </c>
      <c r="B225" s="3" t="s">
        <v>467</v>
      </c>
      <c r="C225" s="3" t="s">
        <v>3</v>
      </c>
      <c r="D225" s="3" t="s">
        <v>4</v>
      </c>
      <c r="E225" s="3" t="s">
        <v>468</v>
      </c>
      <c r="F225" s="4">
        <v>42717</v>
      </c>
      <c r="G225" s="3"/>
      <c r="H225" s="3"/>
      <c r="I225" s="3" t="s">
        <v>7043</v>
      </c>
      <c r="J225" s="3"/>
      <c r="K225" s="3"/>
      <c r="L225" s="5"/>
    </row>
    <row r="226" spans="1:12" ht="28.8" x14ac:dyDescent="0.55000000000000004">
      <c r="A226" s="9" t="str">
        <f>HYPERLINK("PDF\FOIA-FWS-2020-00724-0000225.pdf","FOIA-FWS-2020-00724-0000225")</f>
        <v>FOIA-FWS-2020-00724-0000225</v>
      </c>
      <c r="B226" s="3" t="s">
        <v>469</v>
      </c>
      <c r="C226" s="3" t="s">
        <v>3</v>
      </c>
      <c r="D226" s="3" t="s">
        <v>4</v>
      </c>
      <c r="E226" s="3" t="s">
        <v>470</v>
      </c>
      <c r="F226" s="4">
        <v>42736</v>
      </c>
      <c r="G226" s="3"/>
      <c r="H226" s="3"/>
      <c r="I226" s="3" t="s">
        <v>7043</v>
      </c>
      <c r="J226" s="3"/>
      <c r="K226" s="3"/>
      <c r="L226" s="5"/>
    </row>
    <row r="227" spans="1:12" ht="28.8" x14ac:dyDescent="0.55000000000000004">
      <c r="A227" s="9" t="str">
        <f>HYPERLINK("PDF\FOIA-FWS-2020-00724-0000226.pdf","FOIA-FWS-2020-00724-0000226")</f>
        <v>FOIA-FWS-2020-00724-0000226</v>
      </c>
      <c r="B227" s="3" t="s">
        <v>471</v>
      </c>
      <c r="C227" s="3" t="s">
        <v>3</v>
      </c>
      <c r="D227" s="3" t="s">
        <v>4</v>
      </c>
      <c r="E227" s="3" t="s">
        <v>472</v>
      </c>
      <c r="F227" s="4">
        <v>42736</v>
      </c>
      <c r="G227" s="3"/>
      <c r="H227" s="3"/>
      <c r="I227" s="3" t="s">
        <v>7043</v>
      </c>
      <c r="J227" s="3"/>
      <c r="K227" s="3"/>
      <c r="L227" s="5"/>
    </row>
    <row r="228" spans="1:12" ht="28.8" x14ac:dyDescent="0.55000000000000004">
      <c r="A228" s="9" t="str">
        <f>HYPERLINK("PDF\FOIA-FWS-2020-00724-0000227.pdf","FOIA-FWS-2020-00724-0000227")</f>
        <v>FOIA-FWS-2020-00724-0000227</v>
      </c>
      <c r="B228" s="3" t="s">
        <v>473</v>
      </c>
      <c r="C228" s="3" t="s">
        <v>3</v>
      </c>
      <c r="D228" s="3" t="s">
        <v>4</v>
      </c>
      <c r="E228" s="3" t="s">
        <v>474</v>
      </c>
      <c r="F228" s="4">
        <v>42736</v>
      </c>
      <c r="G228" s="3"/>
      <c r="H228" s="3"/>
      <c r="I228" s="3" t="s">
        <v>7043</v>
      </c>
      <c r="J228" s="3"/>
      <c r="K228" s="3"/>
      <c r="L228" s="5"/>
    </row>
    <row r="229" spans="1:12" ht="28.8" x14ac:dyDescent="0.55000000000000004">
      <c r="A229" s="9" t="str">
        <f>HYPERLINK("PDF\FOIA-FWS-2020-00724-0000228.pdf","FOIA-FWS-2020-00724-0000228")</f>
        <v>FOIA-FWS-2020-00724-0000228</v>
      </c>
      <c r="B229" s="3" t="s">
        <v>475</v>
      </c>
      <c r="C229" s="3" t="s">
        <v>3</v>
      </c>
      <c r="D229" s="3" t="s">
        <v>4</v>
      </c>
      <c r="E229" s="3" t="s">
        <v>476</v>
      </c>
      <c r="F229" s="4">
        <v>42736</v>
      </c>
      <c r="G229" s="3"/>
      <c r="H229" s="3"/>
      <c r="I229" s="3" t="s">
        <v>7043</v>
      </c>
      <c r="J229" s="3"/>
      <c r="K229" s="3"/>
      <c r="L229" s="5"/>
    </row>
    <row r="230" spans="1:12" ht="43.2" x14ac:dyDescent="0.55000000000000004">
      <c r="A230" s="9" t="str">
        <f>HYPERLINK("PDF\FOIA-FWS-2020-00724-0000229.pdf","FOIA-FWS-2020-00724-0000229")</f>
        <v>FOIA-FWS-2020-00724-0000229</v>
      </c>
      <c r="B230" s="3" t="s">
        <v>477</v>
      </c>
      <c r="C230" s="3" t="s">
        <v>3</v>
      </c>
      <c r="D230" s="3" t="s">
        <v>160</v>
      </c>
      <c r="E230" s="3" t="s">
        <v>478</v>
      </c>
      <c r="F230" s="4">
        <v>42736</v>
      </c>
      <c r="G230" s="3"/>
      <c r="H230" s="3"/>
      <c r="I230" s="3" t="s">
        <v>7043</v>
      </c>
      <c r="J230" s="3"/>
      <c r="K230" s="3"/>
      <c r="L230" s="5"/>
    </row>
    <row r="231" spans="1:12" ht="28.8" x14ac:dyDescent="0.55000000000000004">
      <c r="A231" s="9" t="str">
        <f>HYPERLINK("PDF\FOIA-FWS-2020-00724-0000230.pdf","FOIA-FWS-2020-00724-0000230")</f>
        <v>FOIA-FWS-2020-00724-0000230</v>
      </c>
      <c r="B231" s="3" t="s">
        <v>479</v>
      </c>
      <c r="C231" s="3" t="s">
        <v>3</v>
      </c>
      <c r="D231" s="3" t="s">
        <v>33</v>
      </c>
      <c r="E231" s="3" t="s">
        <v>480</v>
      </c>
      <c r="F231" s="4">
        <v>42736</v>
      </c>
      <c r="G231" s="3"/>
      <c r="H231" s="3"/>
      <c r="I231" s="3" t="s">
        <v>7043</v>
      </c>
      <c r="J231" s="3"/>
      <c r="K231" s="3"/>
      <c r="L231" s="5"/>
    </row>
    <row r="232" spans="1:12" ht="28.8" x14ac:dyDescent="0.55000000000000004">
      <c r="A232" s="9" t="str">
        <f>HYPERLINK("PDF\FOIA-FWS-2020-00724-0000231.pdf","FOIA-FWS-2020-00724-0000231")</f>
        <v>FOIA-FWS-2020-00724-0000231</v>
      </c>
      <c r="B232" s="3" t="s">
        <v>481</v>
      </c>
      <c r="C232" s="3" t="s">
        <v>3</v>
      </c>
      <c r="D232" s="3" t="s">
        <v>4</v>
      </c>
      <c r="E232" s="3" t="s">
        <v>482</v>
      </c>
      <c r="F232" s="4">
        <v>42736</v>
      </c>
      <c r="G232" s="3"/>
      <c r="H232" s="3"/>
      <c r="I232" s="3" t="s">
        <v>7043</v>
      </c>
      <c r="J232" s="3"/>
      <c r="K232" s="3"/>
      <c r="L232" s="5"/>
    </row>
    <row r="233" spans="1:12" ht="28.8" x14ac:dyDescent="0.55000000000000004">
      <c r="A233" s="9" t="str">
        <f>HYPERLINK("PDF\FOIA-FWS-2020-00724-0000232.pdf","FOIA-FWS-2020-00724-0000232")</f>
        <v>FOIA-FWS-2020-00724-0000232</v>
      </c>
      <c r="B233" s="3" t="s">
        <v>483</v>
      </c>
      <c r="C233" s="3" t="s">
        <v>3</v>
      </c>
      <c r="D233" s="3" t="s">
        <v>33</v>
      </c>
      <c r="E233" s="3" t="s">
        <v>484</v>
      </c>
      <c r="F233" s="4">
        <v>42736</v>
      </c>
      <c r="G233" s="3"/>
      <c r="H233" s="3"/>
      <c r="I233" s="3" t="s">
        <v>7043</v>
      </c>
      <c r="J233" s="3"/>
      <c r="K233" s="3"/>
      <c r="L233" s="5"/>
    </row>
    <row r="234" spans="1:12" ht="28.8" x14ac:dyDescent="0.55000000000000004">
      <c r="A234" s="9" t="str">
        <f>HYPERLINK("PDF\FOIA-FWS-2020-00724-0000233.pdf","FOIA-FWS-2020-00724-0000233")</f>
        <v>FOIA-FWS-2020-00724-0000233</v>
      </c>
      <c r="B234" s="3" t="s">
        <v>485</v>
      </c>
      <c r="C234" s="3" t="s">
        <v>3</v>
      </c>
      <c r="D234" s="3" t="s">
        <v>4</v>
      </c>
      <c r="E234" s="3" t="s">
        <v>486</v>
      </c>
      <c r="F234" s="4">
        <v>42736</v>
      </c>
      <c r="G234" s="3"/>
      <c r="H234" s="3"/>
      <c r="I234" s="3" t="s">
        <v>7043</v>
      </c>
      <c r="J234" s="3"/>
      <c r="K234" s="3"/>
      <c r="L234" s="5"/>
    </row>
    <row r="235" spans="1:12" ht="28.8" x14ac:dyDescent="0.55000000000000004">
      <c r="A235" s="9" t="str">
        <f>HYPERLINK("PDF\FOIA-FWS-2020-00724-0000234.pdf","FOIA-FWS-2020-00724-0000234")</f>
        <v>FOIA-FWS-2020-00724-0000234</v>
      </c>
      <c r="B235" s="3" t="s">
        <v>487</v>
      </c>
      <c r="C235" s="3" t="s">
        <v>3</v>
      </c>
      <c r="D235" s="3" t="s">
        <v>4</v>
      </c>
      <c r="E235" s="3" t="s">
        <v>488</v>
      </c>
      <c r="F235" s="4">
        <v>42736</v>
      </c>
      <c r="G235" s="3"/>
      <c r="H235" s="3"/>
      <c r="I235" s="3" t="s">
        <v>7043</v>
      </c>
      <c r="J235" s="3"/>
      <c r="K235" s="3"/>
      <c r="L235" s="5"/>
    </row>
    <row r="236" spans="1:12" ht="28.8" x14ac:dyDescent="0.55000000000000004">
      <c r="A236" s="9" t="str">
        <f>HYPERLINK("PDF\FOIA-FWS-2020-00724-0000235.pdf","FOIA-FWS-2020-00724-0000235")</f>
        <v>FOIA-FWS-2020-00724-0000235</v>
      </c>
      <c r="B236" s="3" t="s">
        <v>489</v>
      </c>
      <c r="C236" s="3" t="s">
        <v>3</v>
      </c>
      <c r="D236" s="3" t="s">
        <v>33</v>
      </c>
      <c r="E236" s="3" t="s">
        <v>490</v>
      </c>
      <c r="F236" s="4">
        <v>42736</v>
      </c>
      <c r="G236" s="3"/>
      <c r="H236" s="3"/>
      <c r="I236" s="3" t="s">
        <v>7043</v>
      </c>
      <c r="J236" s="3"/>
      <c r="K236" s="3"/>
      <c r="L236" s="5"/>
    </row>
    <row r="237" spans="1:12" ht="28.8" x14ac:dyDescent="0.55000000000000004">
      <c r="A237" s="9" t="str">
        <f>HYPERLINK("PDF\FOIA-FWS-2020-00724-0000236.pdf","FOIA-FWS-2020-00724-0000236")</f>
        <v>FOIA-FWS-2020-00724-0000236</v>
      </c>
      <c r="B237" s="3" t="s">
        <v>491</v>
      </c>
      <c r="C237" s="3" t="s">
        <v>3</v>
      </c>
      <c r="D237" s="3" t="s">
        <v>4</v>
      </c>
      <c r="E237" s="3" t="s">
        <v>492</v>
      </c>
      <c r="F237" s="4">
        <v>42736</v>
      </c>
      <c r="G237" s="3"/>
      <c r="H237" s="3"/>
      <c r="I237" s="3" t="s">
        <v>7043</v>
      </c>
      <c r="J237" s="3"/>
      <c r="K237" s="3"/>
      <c r="L237" s="5"/>
    </row>
    <row r="238" spans="1:12" ht="28.8" x14ac:dyDescent="0.55000000000000004">
      <c r="A238" s="9" t="str">
        <f>HYPERLINK("PDF\FOIA-FWS-2020-00724-0000237.pdf","FOIA-FWS-2020-00724-0000237")</f>
        <v>FOIA-FWS-2020-00724-0000237</v>
      </c>
      <c r="B238" s="3" t="s">
        <v>493</v>
      </c>
      <c r="C238" s="3" t="s">
        <v>3</v>
      </c>
      <c r="D238" s="3" t="s">
        <v>4</v>
      </c>
      <c r="E238" s="3" t="s">
        <v>494</v>
      </c>
      <c r="F238" s="4">
        <v>42736</v>
      </c>
      <c r="G238" s="3"/>
      <c r="H238" s="3"/>
      <c r="I238" s="3" t="s">
        <v>7043</v>
      </c>
      <c r="J238" s="3"/>
      <c r="K238" s="3"/>
      <c r="L238" s="5"/>
    </row>
    <row r="239" spans="1:12" ht="28.8" x14ac:dyDescent="0.55000000000000004">
      <c r="A239" s="9" t="str">
        <f>HYPERLINK("PDF\FOIA-FWS-2020-00724-0000238.pdf","FOIA-FWS-2020-00724-0000238")</f>
        <v>FOIA-FWS-2020-00724-0000238</v>
      </c>
      <c r="B239" s="3" t="s">
        <v>495</v>
      </c>
      <c r="C239" s="3" t="s">
        <v>3</v>
      </c>
      <c r="D239" s="3" t="s">
        <v>33</v>
      </c>
      <c r="E239" s="3" t="s">
        <v>472</v>
      </c>
      <c r="F239" s="4">
        <v>42736</v>
      </c>
      <c r="G239" s="3"/>
      <c r="H239" s="3"/>
      <c r="I239" s="3" t="s">
        <v>7043</v>
      </c>
      <c r="J239" s="3"/>
      <c r="K239" s="3"/>
      <c r="L239" s="5"/>
    </row>
    <row r="240" spans="1:12" ht="28.8" x14ac:dyDescent="0.55000000000000004">
      <c r="A240" s="9" t="str">
        <f>HYPERLINK("PDF\FOIA-FWS-2020-00724-0000239.pdf","FOIA-FWS-2020-00724-0000239")</f>
        <v>FOIA-FWS-2020-00724-0000239</v>
      </c>
      <c r="B240" s="3" t="s">
        <v>496</v>
      </c>
      <c r="C240" s="3" t="s">
        <v>3</v>
      </c>
      <c r="D240" s="3" t="s">
        <v>33</v>
      </c>
      <c r="E240" s="3" t="s">
        <v>497</v>
      </c>
      <c r="F240" s="4">
        <v>42736</v>
      </c>
      <c r="G240" s="3"/>
      <c r="H240" s="3"/>
      <c r="I240" s="3" t="s">
        <v>7043</v>
      </c>
      <c r="J240" s="3"/>
      <c r="K240" s="3"/>
      <c r="L240" s="5"/>
    </row>
    <row r="241" spans="1:12" ht="28.8" x14ac:dyDescent="0.55000000000000004">
      <c r="A241" s="9" t="str">
        <f>HYPERLINK("PDF\FOIA-FWS-2020-00724-0000240.pdf","FOIA-FWS-2020-00724-0000240")</f>
        <v>FOIA-FWS-2020-00724-0000240</v>
      </c>
      <c r="B241" s="3" t="s">
        <v>498</v>
      </c>
      <c r="C241" s="3" t="s">
        <v>3</v>
      </c>
      <c r="D241" s="3" t="s">
        <v>33</v>
      </c>
      <c r="E241" s="3" t="s">
        <v>499</v>
      </c>
      <c r="F241" s="4">
        <v>42736</v>
      </c>
      <c r="G241" s="3"/>
      <c r="H241" s="3"/>
      <c r="I241" s="3" t="s">
        <v>7043</v>
      </c>
      <c r="J241" s="3"/>
      <c r="K241" s="3"/>
      <c r="L241" s="5"/>
    </row>
    <row r="242" spans="1:12" ht="43.2" x14ac:dyDescent="0.55000000000000004">
      <c r="A242" s="9" t="str">
        <f>HYPERLINK("PDF\FOIA-FWS-2020-00724-0000241.pdf","FOIA-FWS-2020-00724-0000241")</f>
        <v>FOIA-FWS-2020-00724-0000241</v>
      </c>
      <c r="B242" s="3" t="s">
        <v>500</v>
      </c>
      <c r="C242" s="3" t="s">
        <v>3</v>
      </c>
      <c r="D242" s="3" t="s">
        <v>33</v>
      </c>
      <c r="E242" s="3" t="s">
        <v>501</v>
      </c>
      <c r="F242" s="4">
        <v>42747</v>
      </c>
      <c r="G242" s="3"/>
      <c r="H242" s="3"/>
      <c r="I242" s="3" t="s">
        <v>7043</v>
      </c>
      <c r="J242" s="3"/>
      <c r="K242" s="3"/>
      <c r="L242" s="5"/>
    </row>
    <row r="243" spans="1:12" ht="28.8" x14ac:dyDescent="0.55000000000000004">
      <c r="A243" s="9" t="str">
        <f>HYPERLINK("PDF\FOIA-FWS-2020-00724-0000242.pdf","FOIA-FWS-2020-00724-0000242")</f>
        <v>FOIA-FWS-2020-00724-0000242</v>
      </c>
      <c r="B243" s="3" t="s">
        <v>502</v>
      </c>
      <c r="C243" s="3" t="s">
        <v>3</v>
      </c>
      <c r="D243" s="3" t="s">
        <v>33</v>
      </c>
      <c r="E243" s="3" t="s">
        <v>503</v>
      </c>
      <c r="F243" s="4">
        <v>42765</v>
      </c>
      <c r="G243" s="3"/>
      <c r="H243" s="3"/>
      <c r="I243" s="3" t="s">
        <v>7043</v>
      </c>
      <c r="J243" s="3"/>
      <c r="K243" s="3"/>
      <c r="L243" s="5"/>
    </row>
    <row r="244" spans="1:12" ht="72" x14ac:dyDescent="0.55000000000000004">
      <c r="A244" s="9" t="str">
        <f>HYPERLINK("PDF\FOIA-FWS-2020-00724-0000243.pdf","FOIA-FWS-2020-00724-0000243")</f>
        <v>FOIA-FWS-2020-00724-0000243</v>
      </c>
      <c r="B244" s="3" t="s">
        <v>504</v>
      </c>
      <c r="C244" s="3" t="s">
        <v>3</v>
      </c>
      <c r="D244" s="3" t="s">
        <v>33</v>
      </c>
      <c r="E244" s="3" t="s">
        <v>505</v>
      </c>
      <c r="F244" s="4">
        <v>42767</v>
      </c>
      <c r="G244" s="3"/>
      <c r="H244" s="3"/>
      <c r="I244" s="3" t="s">
        <v>7043</v>
      </c>
      <c r="J244" s="3"/>
      <c r="K244" s="3"/>
      <c r="L244" s="5"/>
    </row>
    <row r="245" spans="1:12" ht="57.6" x14ac:dyDescent="0.55000000000000004">
      <c r="A245" s="9" t="str">
        <f>HYPERLINK("PDF\FOIA-FWS-2020-00724-0000244.pdf","FOIA-FWS-2020-00724-0000244")</f>
        <v>FOIA-FWS-2020-00724-0000244</v>
      </c>
      <c r="B245" s="3" t="s">
        <v>506</v>
      </c>
      <c r="C245" s="3" t="s">
        <v>3</v>
      </c>
      <c r="D245" s="3" t="s">
        <v>4</v>
      </c>
      <c r="E245" s="3" t="s">
        <v>507</v>
      </c>
      <c r="F245" s="4">
        <v>42774</v>
      </c>
      <c r="G245" s="3"/>
      <c r="H245" s="3"/>
      <c r="I245" s="3" t="s">
        <v>7043</v>
      </c>
      <c r="J245" s="3"/>
      <c r="K245" s="3"/>
      <c r="L245" s="5"/>
    </row>
    <row r="246" spans="1:12" ht="28.8" x14ac:dyDescent="0.55000000000000004">
      <c r="A246" s="9" t="str">
        <f>HYPERLINK("PDF\FOIA-FWS-2020-00724-0000245.pdf","FOIA-FWS-2020-00724-0000245")</f>
        <v>FOIA-FWS-2020-00724-0000245</v>
      </c>
      <c r="B246" s="3" t="s">
        <v>508</v>
      </c>
      <c r="C246" s="3" t="s">
        <v>3</v>
      </c>
      <c r="D246" s="3" t="s">
        <v>33</v>
      </c>
      <c r="E246" s="3" t="s">
        <v>509</v>
      </c>
      <c r="F246" s="4">
        <v>42775</v>
      </c>
      <c r="G246" s="3"/>
      <c r="H246" s="3"/>
      <c r="I246" s="3" t="s">
        <v>7043</v>
      </c>
      <c r="J246" s="3"/>
      <c r="K246" s="3"/>
      <c r="L246" s="5"/>
    </row>
    <row r="247" spans="1:12" ht="28.8" x14ac:dyDescent="0.55000000000000004">
      <c r="A247" s="9" t="str">
        <f>HYPERLINK("PDF\FOIA-FWS-2020-00724-0000246.pdf","FOIA-FWS-2020-00724-0000246")</f>
        <v>FOIA-FWS-2020-00724-0000246</v>
      </c>
      <c r="B247" s="3" t="s">
        <v>510</v>
      </c>
      <c r="C247" s="3" t="s">
        <v>3</v>
      </c>
      <c r="D247" s="3" t="s">
        <v>33</v>
      </c>
      <c r="E247" s="3" t="s">
        <v>511</v>
      </c>
      <c r="F247" s="4">
        <v>42775</v>
      </c>
      <c r="G247" s="3"/>
      <c r="H247" s="3"/>
      <c r="I247" s="3" t="s">
        <v>7043</v>
      </c>
      <c r="J247" s="3"/>
      <c r="K247" s="3"/>
      <c r="L247" s="5"/>
    </row>
    <row r="248" spans="1:12" ht="28.8" x14ac:dyDescent="0.55000000000000004">
      <c r="A248" s="9" t="str">
        <f>HYPERLINK("PDF\FOIA-FWS-2020-00724-0000247.pdf","FOIA-FWS-2020-00724-0000247")</f>
        <v>FOIA-FWS-2020-00724-0000247</v>
      </c>
      <c r="B248" s="3" t="s">
        <v>512</v>
      </c>
      <c r="C248" s="3" t="s">
        <v>3</v>
      </c>
      <c r="D248" s="3" t="s">
        <v>38</v>
      </c>
      <c r="E248" s="3" t="s">
        <v>513</v>
      </c>
      <c r="F248" s="4">
        <v>42790</v>
      </c>
      <c r="G248" s="3"/>
      <c r="H248" s="3"/>
      <c r="I248" s="3" t="s">
        <v>7043</v>
      </c>
      <c r="J248" s="3"/>
      <c r="K248" s="3"/>
      <c r="L248" s="5"/>
    </row>
    <row r="249" spans="1:12" ht="43.2" x14ac:dyDescent="0.55000000000000004">
      <c r="A249" s="9" t="str">
        <f>HYPERLINK("PDF\FOIA-FWS-2020-00724-0000248.pdf","FOIA-FWS-2020-00724-0000248")</f>
        <v>FOIA-FWS-2020-00724-0000248</v>
      </c>
      <c r="B249" s="3" t="s">
        <v>514</v>
      </c>
      <c r="C249" s="3" t="s">
        <v>3</v>
      </c>
      <c r="D249" s="3" t="s">
        <v>4</v>
      </c>
      <c r="E249" s="3" t="s">
        <v>515</v>
      </c>
      <c r="F249" s="4">
        <v>42795</v>
      </c>
      <c r="G249" s="3"/>
      <c r="H249" s="3"/>
      <c r="I249" s="3" t="s">
        <v>7043</v>
      </c>
      <c r="J249" s="3"/>
      <c r="K249" s="3"/>
      <c r="L249" s="5"/>
    </row>
    <row r="250" spans="1:12" ht="28.8" x14ac:dyDescent="0.55000000000000004">
      <c r="A250" s="9" t="str">
        <f>HYPERLINK("PDF\FOIA-FWS-2020-00724-0000249.pdf","FOIA-FWS-2020-00724-0000249")</f>
        <v>FOIA-FWS-2020-00724-0000249</v>
      </c>
      <c r="B250" s="3" t="s">
        <v>516</v>
      </c>
      <c r="C250" s="3" t="s">
        <v>3</v>
      </c>
      <c r="D250" s="3" t="s">
        <v>38</v>
      </c>
      <c r="E250" s="3" t="s">
        <v>517</v>
      </c>
      <c r="F250" s="4">
        <v>42795</v>
      </c>
      <c r="G250" s="3"/>
      <c r="H250" s="3"/>
      <c r="I250" s="3" t="s">
        <v>7043</v>
      </c>
      <c r="J250" s="3"/>
      <c r="K250" s="3"/>
      <c r="L250" s="5"/>
    </row>
    <row r="251" spans="1:12" ht="28.8" x14ac:dyDescent="0.55000000000000004">
      <c r="A251" s="9" t="str">
        <f>HYPERLINK("PDF\FOIA-FWS-2020-00724-0000250.pdf","FOIA-FWS-2020-00724-0000250")</f>
        <v>FOIA-FWS-2020-00724-0000250</v>
      </c>
      <c r="B251" s="3" t="s">
        <v>518</v>
      </c>
      <c r="C251" s="3" t="s">
        <v>3</v>
      </c>
      <c r="D251" s="3" t="s">
        <v>33</v>
      </c>
      <c r="E251" s="3" t="s">
        <v>519</v>
      </c>
      <c r="F251" s="4">
        <v>42796</v>
      </c>
      <c r="G251" s="3"/>
      <c r="H251" s="3"/>
      <c r="I251" s="3" t="s">
        <v>7043</v>
      </c>
      <c r="J251" s="3"/>
      <c r="K251" s="3"/>
      <c r="L251" s="5"/>
    </row>
    <row r="252" spans="1:12" ht="43.2" x14ac:dyDescent="0.55000000000000004">
      <c r="A252" s="9" t="str">
        <f>HYPERLINK("PDF\FOIA-FWS-2020-00724-0000251.pdf","FOIA-FWS-2020-00724-0000251")</f>
        <v>FOIA-FWS-2020-00724-0000251</v>
      </c>
      <c r="B252" s="3" t="s">
        <v>520</v>
      </c>
      <c r="C252" s="3" t="s">
        <v>3</v>
      </c>
      <c r="D252" s="3" t="s">
        <v>4</v>
      </c>
      <c r="E252" s="3" t="s">
        <v>521</v>
      </c>
      <c r="F252" s="4">
        <v>42805</v>
      </c>
      <c r="G252" s="3"/>
      <c r="H252" s="3"/>
      <c r="I252" s="3" t="s">
        <v>7043</v>
      </c>
      <c r="J252" s="3"/>
      <c r="K252" s="3"/>
      <c r="L252" s="5"/>
    </row>
    <row r="253" spans="1:12" ht="43.2" x14ac:dyDescent="0.55000000000000004">
      <c r="A253" s="9" t="str">
        <f>HYPERLINK("PDF\FOIA-FWS-2020-00724-0000252.pdf","FOIA-FWS-2020-00724-0000252")</f>
        <v>FOIA-FWS-2020-00724-0000252</v>
      </c>
      <c r="B253" s="3" t="s">
        <v>522</v>
      </c>
      <c r="C253" s="3" t="s">
        <v>3</v>
      </c>
      <c r="D253" s="3" t="s">
        <v>33</v>
      </c>
      <c r="E253" s="3" t="s">
        <v>523</v>
      </c>
      <c r="F253" s="4">
        <v>42805</v>
      </c>
      <c r="G253" s="3"/>
      <c r="H253" s="3"/>
      <c r="I253" s="3" t="s">
        <v>7043</v>
      </c>
      <c r="J253" s="3"/>
      <c r="K253" s="3"/>
      <c r="L253" s="5"/>
    </row>
    <row r="254" spans="1:12" ht="28.8" x14ac:dyDescent="0.55000000000000004">
      <c r="A254" s="9" t="str">
        <f>HYPERLINK("PDF\FOIA-FWS-2020-00724-0000253.pdf","FOIA-FWS-2020-00724-0000253")</f>
        <v>FOIA-FWS-2020-00724-0000253</v>
      </c>
      <c r="B254" s="3" t="s">
        <v>524</v>
      </c>
      <c r="C254" s="3" t="s">
        <v>3</v>
      </c>
      <c r="D254" s="3" t="s">
        <v>4</v>
      </c>
      <c r="E254" s="3" t="s">
        <v>525</v>
      </c>
      <c r="F254" s="4">
        <v>42808</v>
      </c>
      <c r="G254" s="3"/>
      <c r="H254" s="3"/>
      <c r="I254" s="3" t="s">
        <v>7043</v>
      </c>
      <c r="J254" s="3"/>
      <c r="K254" s="3"/>
      <c r="L254" s="5"/>
    </row>
    <row r="255" spans="1:12" ht="28.8" x14ac:dyDescent="0.55000000000000004">
      <c r="A255" s="9" t="str">
        <f>HYPERLINK("PDF\FOIA-FWS-2020-00724-0000254.pdf","FOIA-FWS-2020-00724-0000254")</f>
        <v>FOIA-FWS-2020-00724-0000254</v>
      </c>
      <c r="B255" s="3" t="s">
        <v>526</v>
      </c>
      <c r="C255" s="3" t="s">
        <v>3</v>
      </c>
      <c r="D255" s="3" t="s">
        <v>38</v>
      </c>
      <c r="E255" s="3" t="s">
        <v>527</v>
      </c>
      <c r="F255" s="4">
        <v>42811</v>
      </c>
      <c r="G255" s="3"/>
      <c r="H255" s="3"/>
      <c r="I255" s="3" t="s">
        <v>7043</v>
      </c>
      <c r="J255" s="3"/>
      <c r="K255" s="3"/>
      <c r="L255" s="5"/>
    </row>
    <row r="256" spans="1:12" ht="28.8" x14ac:dyDescent="0.55000000000000004">
      <c r="A256" s="9" t="str">
        <f>HYPERLINK("PDF\FOIA-FWS-2020-00724-0000255.pdf","FOIA-FWS-2020-00724-0000255")</f>
        <v>FOIA-FWS-2020-00724-0000255</v>
      </c>
      <c r="B256" s="3" t="s">
        <v>528</v>
      </c>
      <c r="C256" s="3" t="s">
        <v>3</v>
      </c>
      <c r="D256" s="3" t="s">
        <v>33</v>
      </c>
      <c r="E256" s="3" t="s">
        <v>529</v>
      </c>
      <c r="F256" s="4">
        <v>42811</v>
      </c>
      <c r="G256" s="3"/>
      <c r="H256" s="3"/>
      <c r="I256" s="3" t="s">
        <v>7043</v>
      </c>
      <c r="J256" s="3"/>
      <c r="K256" s="3"/>
      <c r="L256" s="5"/>
    </row>
    <row r="257" spans="1:12" ht="28.8" x14ac:dyDescent="0.55000000000000004">
      <c r="A257" s="9" t="str">
        <f>HYPERLINK("PDF\FOIA-FWS-2020-00724-0000256.pdf","FOIA-FWS-2020-00724-0000256")</f>
        <v>FOIA-FWS-2020-00724-0000256</v>
      </c>
      <c r="B257" s="3" t="s">
        <v>530</v>
      </c>
      <c r="C257" s="3" t="s">
        <v>3</v>
      </c>
      <c r="D257" s="3" t="s">
        <v>38</v>
      </c>
      <c r="E257" s="3" t="s">
        <v>531</v>
      </c>
      <c r="F257" s="4">
        <v>42818</v>
      </c>
      <c r="G257" s="3"/>
      <c r="H257" s="3"/>
      <c r="I257" s="3" t="s">
        <v>7043</v>
      </c>
      <c r="J257" s="3"/>
      <c r="K257" s="3"/>
      <c r="L257" s="5"/>
    </row>
    <row r="258" spans="1:12" ht="43.2" x14ac:dyDescent="0.55000000000000004">
      <c r="A258" s="9" t="str">
        <f>HYPERLINK("PDF\FOIA-FWS-2020-00724-0000257.pdf","FOIA-FWS-2020-00724-0000257")</f>
        <v>FOIA-FWS-2020-00724-0000257</v>
      </c>
      <c r="B258" s="3" t="s">
        <v>532</v>
      </c>
      <c r="C258" s="3" t="s">
        <v>3</v>
      </c>
      <c r="D258" s="3" t="s">
        <v>4</v>
      </c>
      <c r="E258" s="3" t="s">
        <v>533</v>
      </c>
      <c r="F258" s="4">
        <v>42820</v>
      </c>
      <c r="G258" s="3"/>
      <c r="H258" s="3"/>
      <c r="I258" s="3" t="s">
        <v>7043</v>
      </c>
      <c r="J258" s="3"/>
      <c r="K258" s="3"/>
      <c r="L258" s="5"/>
    </row>
    <row r="259" spans="1:12" ht="28.8" x14ac:dyDescent="0.55000000000000004">
      <c r="A259" s="9" t="str">
        <f>HYPERLINK("PDF\FOIA-FWS-2020-00724-0000258.pdf","FOIA-FWS-2020-00724-0000258")</f>
        <v>FOIA-FWS-2020-00724-0000258</v>
      </c>
      <c r="B259" s="3" t="s">
        <v>534</v>
      </c>
      <c r="C259" s="3" t="s">
        <v>3</v>
      </c>
      <c r="D259" s="3" t="s">
        <v>4</v>
      </c>
      <c r="E259" s="3" t="s">
        <v>535</v>
      </c>
      <c r="F259" s="4">
        <v>42826</v>
      </c>
      <c r="G259" s="3"/>
      <c r="H259" s="3"/>
      <c r="I259" s="3" t="s">
        <v>7043</v>
      </c>
      <c r="J259" s="3"/>
      <c r="K259" s="3"/>
      <c r="L259" s="5"/>
    </row>
    <row r="260" spans="1:12" ht="28.8" x14ac:dyDescent="0.55000000000000004">
      <c r="A260" s="9" t="str">
        <f>HYPERLINK("PDF\FOIA-FWS-2020-00724-0000259.pdf","FOIA-FWS-2020-00724-0000259")</f>
        <v>FOIA-FWS-2020-00724-0000259</v>
      </c>
      <c r="B260" s="3" t="s">
        <v>536</v>
      </c>
      <c r="C260" s="3" t="s">
        <v>3</v>
      </c>
      <c r="D260" s="3" t="s">
        <v>4</v>
      </c>
      <c r="E260" s="3" t="s">
        <v>537</v>
      </c>
      <c r="F260" s="4">
        <v>42829</v>
      </c>
      <c r="G260" s="3"/>
      <c r="H260" s="3"/>
      <c r="I260" s="3" t="s">
        <v>7043</v>
      </c>
      <c r="J260" s="3"/>
      <c r="K260" s="3"/>
      <c r="L260" s="5"/>
    </row>
    <row r="261" spans="1:12" ht="28.8" x14ac:dyDescent="0.55000000000000004">
      <c r="A261" s="9" t="str">
        <f>HYPERLINK("PDF\FOIA-FWS-2020-00724-0000260.pdf","FOIA-FWS-2020-00724-0000260")</f>
        <v>FOIA-FWS-2020-00724-0000260</v>
      </c>
      <c r="B261" s="3" t="s">
        <v>538</v>
      </c>
      <c r="C261" s="3" t="s">
        <v>3</v>
      </c>
      <c r="D261" s="3" t="s">
        <v>38</v>
      </c>
      <c r="E261" s="3" t="s">
        <v>539</v>
      </c>
      <c r="F261" s="4">
        <v>42837</v>
      </c>
      <c r="G261" s="3"/>
      <c r="H261" s="3"/>
      <c r="I261" s="3" t="s">
        <v>7043</v>
      </c>
      <c r="J261" s="3"/>
      <c r="K261" s="3"/>
      <c r="L261" s="5"/>
    </row>
    <row r="262" spans="1:12" ht="43.2" x14ac:dyDescent="0.55000000000000004">
      <c r="A262" s="9" t="str">
        <f>HYPERLINK("PDF\FOIA-FWS-2020-00724-0000261.pdf","FOIA-FWS-2020-00724-0000261")</f>
        <v>FOIA-FWS-2020-00724-0000261</v>
      </c>
      <c r="B262" s="3" t="s">
        <v>540</v>
      </c>
      <c r="C262" s="3" t="s">
        <v>3</v>
      </c>
      <c r="D262" s="3" t="s">
        <v>4</v>
      </c>
      <c r="E262" s="3" t="s">
        <v>541</v>
      </c>
      <c r="F262" s="4">
        <v>42837</v>
      </c>
      <c r="G262" s="3"/>
      <c r="H262" s="3"/>
      <c r="I262" s="3" t="s">
        <v>7043</v>
      </c>
      <c r="J262" s="3"/>
      <c r="K262" s="3"/>
      <c r="L262" s="5"/>
    </row>
    <row r="263" spans="1:12" ht="28.8" x14ac:dyDescent="0.55000000000000004">
      <c r="A263" s="9" t="str">
        <f>HYPERLINK("PDF\FOIA-FWS-2020-00724-0000262.pdf","FOIA-FWS-2020-00724-0000262")</f>
        <v>FOIA-FWS-2020-00724-0000262</v>
      </c>
      <c r="B263" s="3" t="s">
        <v>542</v>
      </c>
      <c r="C263" s="3" t="s">
        <v>3</v>
      </c>
      <c r="D263" s="3" t="s">
        <v>33</v>
      </c>
      <c r="E263" s="3" t="s">
        <v>543</v>
      </c>
      <c r="F263" s="4">
        <v>42855</v>
      </c>
      <c r="G263" s="3"/>
      <c r="H263" s="3"/>
      <c r="I263" s="3" t="s">
        <v>7043</v>
      </c>
      <c r="J263" s="3"/>
      <c r="K263" s="3"/>
      <c r="L263" s="5"/>
    </row>
    <row r="264" spans="1:12" ht="28.8" x14ac:dyDescent="0.55000000000000004">
      <c r="A264" s="9" t="str">
        <f>HYPERLINK("PDF\FOIA-FWS-2020-00724-0000263.pdf","FOIA-FWS-2020-00724-0000263")</f>
        <v>FOIA-FWS-2020-00724-0000263</v>
      </c>
      <c r="B264" s="3" t="s">
        <v>544</v>
      </c>
      <c r="C264" s="3" t="s">
        <v>3</v>
      </c>
      <c r="D264" s="3" t="s">
        <v>33</v>
      </c>
      <c r="E264" s="3" t="s">
        <v>545</v>
      </c>
      <c r="F264" s="4">
        <v>42855</v>
      </c>
      <c r="G264" s="3"/>
      <c r="H264" s="3"/>
      <c r="I264" s="3" t="s">
        <v>7043</v>
      </c>
      <c r="J264" s="3"/>
      <c r="K264" s="3"/>
      <c r="L264" s="5"/>
    </row>
    <row r="265" spans="1:12" ht="43.2" x14ac:dyDescent="0.55000000000000004">
      <c r="A265" s="9" t="str">
        <f>HYPERLINK("PDF\FOIA-FWS-2020-00724-0000264.pdf","FOIA-FWS-2020-00724-0000264")</f>
        <v>FOIA-FWS-2020-00724-0000264</v>
      </c>
      <c r="B265" s="3" t="s">
        <v>546</v>
      </c>
      <c r="C265" s="3" t="s">
        <v>3</v>
      </c>
      <c r="D265" s="3" t="s">
        <v>4</v>
      </c>
      <c r="E265" s="3" t="s">
        <v>547</v>
      </c>
      <c r="F265" s="4">
        <v>42856</v>
      </c>
      <c r="G265" s="3"/>
      <c r="H265" s="3"/>
      <c r="I265" s="3" t="s">
        <v>7043</v>
      </c>
      <c r="J265" s="3"/>
      <c r="K265" s="3"/>
      <c r="L265" s="5"/>
    </row>
    <row r="266" spans="1:12" ht="28.8" x14ac:dyDescent="0.55000000000000004">
      <c r="A266" s="9" t="str">
        <f>HYPERLINK("PDF\FOIA-FWS-2020-00724-0000265.pdf","FOIA-FWS-2020-00724-0000265")</f>
        <v>FOIA-FWS-2020-00724-0000265</v>
      </c>
      <c r="B266" s="3" t="s">
        <v>548</v>
      </c>
      <c r="C266" s="3" t="s">
        <v>3</v>
      </c>
      <c r="D266" s="3" t="s">
        <v>4</v>
      </c>
      <c r="E266" s="3" t="s">
        <v>549</v>
      </c>
      <c r="F266" s="4">
        <v>42868</v>
      </c>
      <c r="G266" s="3"/>
      <c r="H266" s="3"/>
      <c r="I266" s="3" t="s">
        <v>7043</v>
      </c>
      <c r="J266" s="3"/>
      <c r="K266" s="3"/>
      <c r="L266" s="5"/>
    </row>
    <row r="267" spans="1:12" ht="28.8" x14ac:dyDescent="0.55000000000000004">
      <c r="A267" s="9" t="str">
        <f>HYPERLINK("PDF\FOIA-FWS-2020-00724-0000266.pdf","FOIA-FWS-2020-00724-0000266")</f>
        <v>FOIA-FWS-2020-00724-0000266</v>
      </c>
      <c r="B267" s="3" t="s">
        <v>550</v>
      </c>
      <c r="C267" s="3" t="s">
        <v>3</v>
      </c>
      <c r="D267" s="3" t="s">
        <v>4</v>
      </c>
      <c r="E267" s="3" t="s">
        <v>551</v>
      </c>
      <c r="F267" s="4">
        <v>42871</v>
      </c>
      <c r="G267" s="3"/>
      <c r="H267" s="3"/>
      <c r="I267" s="3" t="s">
        <v>7043</v>
      </c>
      <c r="J267" s="3"/>
      <c r="K267" s="3"/>
      <c r="L267" s="5"/>
    </row>
    <row r="268" spans="1:12" ht="43.2" x14ac:dyDescent="0.55000000000000004">
      <c r="A268" s="9" t="str">
        <f>HYPERLINK("PDF\FOIA-FWS-2020-00724-0000267.pdf","FOIA-FWS-2020-00724-0000267")</f>
        <v>FOIA-FWS-2020-00724-0000267</v>
      </c>
      <c r="B268" s="3" t="s">
        <v>552</v>
      </c>
      <c r="C268" s="3" t="s">
        <v>3</v>
      </c>
      <c r="D268" s="3" t="s">
        <v>4</v>
      </c>
      <c r="E268" s="3" t="s">
        <v>553</v>
      </c>
      <c r="F268" s="4">
        <v>42883</v>
      </c>
      <c r="G268" s="3"/>
      <c r="H268" s="3"/>
      <c r="I268" s="3" t="s">
        <v>7043</v>
      </c>
      <c r="J268" s="3"/>
      <c r="K268" s="3"/>
      <c r="L268" s="5"/>
    </row>
    <row r="269" spans="1:12" ht="43.2" x14ac:dyDescent="0.55000000000000004">
      <c r="A269" s="9" t="str">
        <f>HYPERLINK("PDF\FOIA-FWS-2020-00724-0000268.pdf","FOIA-FWS-2020-00724-0000268")</f>
        <v>FOIA-FWS-2020-00724-0000268</v>
      </c>
      <c r="B269" s="3" t="s">
        <v>554</v>
      </c>
      <c r="C269" s="3" t="s">
        <v>3</v>
      </c>
      <c r="D269" s="3" t="s">
        <v>33</v>
      </c>
      <c r="E269" s="3" t="s">
        <v>555</v>
      </c>
      <c r="F269" s="4">
        <v>42898</v>
      </c>
      <c r="G269" s="3"/>
      <c r="H269" s="3"/>
      <c r="I269" s="3" t="s">
        <v>7043</v>
      </c>
      <c r="J269" s="3"/>
      <c r="K269" s="3"/>
      <c r="L269" s="5"/>
    </row>
    <row r="270" spans="1:12" ht="28.8" x14ac:dyDescent="0.55000000000000004">
      <c r="A270" s="9" t="str">
        <f>HYPERLINK("PDF\FOIA-FWS-2020-00724-0000269.pdf","FOIA-FWS-2020-00724-0000269")</f>
        <v>FOIA-FWS-2020-00724-0000269</v>
      </c>
      <c r="B270" s="3" t="s">
        <v>556</v>
      </c>
      <c r="C270" s="3" t="s">
        <v>3</v>
      </c>
      <c r="D270" s="3" t="s">
        <v>4</v>
      </c>
      <c r="E270" s="3" t="s">
        <v>557</v>
      </c>
      <c r="F270" s="4">
        <v>42900</v>
      </c>
      <c r="G270" s="3"/>
      <c r="H270" s="3"/>
      <c r="I270" s="3" t="s">
        <v>7043</v>
      </c>
      <c r="J270" s="3"/>
      <c r="K270" s="3"/>
      <c r="L270" s="5"/>
    </row>
    <row r="271" spans="1:12" ht="28.8" x14ac:dyDescent="0.55000000000000004">
      <c r="A271" s="9" t="str">
        <f>HYPERLINK("PDF\FOIA-FWS-2020-00724-0000270.pdf","FOIA-FWS-2020-00724-0000270")</f>
        <v>FOIA-FWS-2020-00724-0000270</v>
      </c>
      <c r="B271" s="3" t="s">
        <v>558</v>
      </c>
      <c r="C271" s="3" t="s">
        <v>3</v>
      </c>
      <c r="D271" s="3" t="s">
        <v>4</v>
      </c>
      <c r="E271" s="3" t="s">
        <v>559</v>
      </c>
      <c r="F271" s="4">
        <v>42902</v>
      </c>
      <c r="G271" s="3"/>
      <c r="H271" s="3"/>
      <c r="I271" s="3" t="s">
        <v>7043</v>
      </c>
      <c r="J271" s="3"/>
      <c r="K271" s="3"/>
      <c r="L271" s="5"/>
    </row>
    <row r="272" spans="1:12" ht="43.2" x14ac:dyDescent="0.55000000000000004">
      <c r="A272" s="9" t="str">
        <f>HYPERLINK("PDF\FOIA-FWS-2020-00724-0000271.pdf","FOIA-FWS-2020-00724-0000271")</f>
        <v>FOIA-FWS-2020-00724-0000271</v>
      </c>
      <c r="B272" s="3" t="s">
        <v>560</v>
      </c>
      <c r="C272" s="3" t="s">
        <v>3</v>
      </c>
      <c r="D272" s="3" t="s">
        <v>4</v>
      </c>
      <c r="E272" s="3" t="s">
        <v>561</v>
      </c>
      <c r="F272" s="4">
        <v>42908</v>
      </c>
      <c r="G272" s="3"/>
      <c r="H272" s="3"/>
      <c r="I272" s="3" t="s">
        <v>7043</v>
      </c>
      <c r="J272" s="3"/>
      <c r="K272" s="3"/>
      <c r="L272" s="5"/>
    </row>
    <row r="273" spans="1:12" ht="28.8" x14ac:dyDescent="0.55000000000000004">
      <c r="A273" s="9" t="str">
        <f>HYPERLINK("PDF\FOIA-FWS-2020-00724-0000272.pdf","FOIA-FWS-2020-00724-0000272")</f>
        <v>FOIA-FWS-2020-00724-0000272</v>
      </c>
      <c r="B273" s="3" t="s">
        <v>562</v>
      </c>
      <c r="C273" s="3" t="s">
        <v>3</v>
      </c>
      <c r="D273" s="3" t="s">
        <v>4</v>
      </c>
      <c r="E273" s="3" t="s">
        <v>563</v>
      </c>
      <c r="F273" s="4">
        <v>42947</v>
      </c>
      <c r="G273" s="3"/>
      <c r="H273" s="3"/>
      <c r="I273" s="3" t="s">
        <v>7043</v>
      </c>
      <c r="J273" s="3"/>
      <c r="K273" s="3"/>
      <c r="L273" s="5"/>
    </row>
    <row r="274" spans="1:12" ht="28.8" x14ac:dyDescent="0.55000000000000004">
      <c r="A274" s="9" t="str">
        <f>HYPERLINK("PDF\FOIA-FWS-2020-00724-0000273.pdf","FOIA-FWS-2020-00724-0000273")</f>
        <v>FOIA-FWS-2020-00724-0000273</v>
      </c>
      <c r="B274" s="3" t="s">
        <v>564</v>
      </c>
      <c r="C274" s="3" t="s">
        <v>3</v>
      </c>
      <c r="D274" s="3" t="s">
        <v>33</v>
      </c>
      <c r="E274" s="3" t="s">
        <v>565</v>
      </c>
      <c r="F274" s="4">
        <v>42948</v>
      </c>
      <c r="G274" s="3"/>
      <c r="H274" s="3"/>
      <c r="I274" s="3" t="s">
        <v>7043</v>
      </c>
      <c r="J274" s="3"/>
      <c r="K274" s="3"/>
      <c r="L274" s="5"/>
    </row>
    <row r="275" spans="1:12" ht="43.2" x14ac:dyDescent="0.55000000000000004">
      <c r="A275" s="9" t="str">
        <f>HYPERLINK("PDF\FOIA-FWS-2020-00724-0000274.pdf","FOIA-FWS-2020-00724-0000274")</f>
        <v>FOIA-FWS-2020-00724-0000274</v>
      </c>
      <c r="B275" s="3" t="s">
        <v>566</v>
      </c>
      <c r="C275" s="3" t="s">
        <v>3</v>
      </c>
      <c r="D275" s="3" t="s">
        <v>4</v>
      </c>
      <c r="E275" s="3" t="s">
        <v>567</v>
      </c>
      <c r="F275" s="4">
        <v>42953</v>
      </c>
      <c r="G275" s="3"/>
      <c r="H275" s="3"/>
      <c r="I275" s="3" t="s">
        <v>7043</v>
      </c>
      <c r="J275" s="3"/>
      <c r="K275" s="3"/>
      <c r="L275" s="5"/>
    </row>
    <row r="276" spans="1:12" ht="28.8" x14ac:dyDescent="0.55000000000000004">
      <c r="A276" s="9" t="str">
        <f>HYPERLINK("PDF\FOIA-FWS-2020-00724-0000275.pdf","FOIA-FWS-2020-00724-0000275")</f>
        <v>FOIA-FWS-2020-00724-0000275</v>
      </c>
      <c r="B276" s="3" t="s">
        <v>568</v>
      </c>
      <c r="C276" s="3" t="s">
        <v>3</v>
      </c>
      <c r="D276" s="3" t="s">
        <v>38</v>
      </c>
      <c r="E276" s="3" t="s">
        <v>569</v>
      </c>
      <c r="F276" s="4">
        <v>42979</v>
      </c>
      <c r="G276" s="3"/>
      <c r="H276" s="3"/>
      <c r="I276" s="3" t="s">
        <v>7043</v>
      </c>
      <c r="J276" s="3"/>
      <c r="K276" s="3"/>
      <c r="L276" s="5"/>
    </row>
    <row r="277" spans="1:12" ht="43.2" x14ac:dyDescent="0.55000000000000004">
      <c r="A277" s="9" t="str">
        <f>HYPERLINK("PDF\FOIA-FWS-2020-00724-0000276.pdf","FOIA-FWS-2020-00724-0000276")</f>
        <v>FOIA-FWS-2020-00724-0000276</v>
      </c>
      <c r="B277" s="3" t="s">
        <v>570</v>
      </c>
      <c r="C277" s="3" t="s">
        <v>3</v>
      </c>
      <c r="D277" s="3" t="s">
        <v>4</v>
      </c>
      <c r="E277" s="3" t="s">
        <v>571</v>
      </c>
      <c r="F277" s="4">
        <v>42985</v>
      </c>
      <c r="G277" s="3"/>
      <c r="H277" s="3"/>
      <c r="I277" s="3" t="s">
        <v>7043</v>
      </c>
      <c r="J277" s="3"/>
      <c r="K277" s="3"/>
      <c r="L277" s="5"/>
    </row>
    <row r="278" spans="1:12" ht="28.8" x14ac:dyDescent="0.55000000000000004">
      <c r="A278" s="9" t="str">
        <f>HYPERLINK("PDF\FOIA-FWS-2020-00724-0000277.pdf","FOIA-FWS-2020-00724-0000277")</f>
        <v>FOIA-FWS-2020-00724-0000277</v>
      </c>
      <c r="B278" s="3" t="s">
        <v>572</v>
      </c>
      <c r="C278" s="3" t="s">
        <v>3</v>
      </c>
      <c r="D278" s="3" t="s">
        <v>4</v>
      </c>
      <c r="E278" s="3" t="s">
        <v>573</v>
      </c>
      <c r="F278" s="4">
        <v>42986</v>
      </c>
      <c r="G278" s="3"/>
      <c r="H278" s="3"/>
      <c r="I278" s="3" t="s">
        <v>7043</v>
      </c>
      <c r="J278" s="3"/>
      <c r="K278" s="3"/>
      <c r="L278" s="5"/>
    </row>
    <row r="279" spans="1:12" ht="57.6" x14ac:dyDescent="0.55000000000000004">
      <c r="A279" s="9" t="str">
        <f>HYPERLINK("PDF\FOIA-FWS-2020-00724-0000278.pdf","FOIA-FWS-2020-00724-0000278")</f>
        <v>FOIA-FWS-2020-00724-0000278</v>
      </c>
      <c r="B279" s="3" t="s">
        <v>574</v>
      </c>
      <c r="C279" s="3" t="s">
        <v>3</v>
      </c>
      <c r="D279" s="3" t="s">
        <v>4</v>
      </c>
      <c r="E279" s="3" t="s">
        <v>575</v>
      </c>
      <c r="F279" s="4">
        <v>42988</v>
      </c>
      <c r="G279" s="3"/>
      <c r="H279" s="3"/>
      <c r="I279" s="3" t="s">
        <v>7043</v>
      </c>
      <c r="J279" s="3"/>
      <c r="K279" s="3"/>
      <c r="L279" s="5"/>
    </row>
    <row r="280" spans="1:12" ht="28.8" x14ac:dyDescent="0.55000000000000004">
      <c r="A280" s="9" t="str">
        <f>HYPERLINK("PDF\FOIA-FWS-2020-00724-0000279.pdf","FOIA-FWS-2020-00724-0000279")</f>
        <v>FOIA-FWS-2020-00724-0000279</v>
      </c>
      <c r="B280" s="3" t="s">
        <v>576</v>
      </c>
      <c r="C280" s="3" t="s">
        <v>3</v>
      </c>
      <c r="D280" s="3" t="s">
        <v>4</v>
      </c>
      <c r="E280" s="3" t="s">
        <v>577</v>
      </c>
      <c r="F280" s="4">
        <v>42994</v>
      </c>
      <c r="G280" s="3"/>
      <c r="H280" s="3"/>
      <c r="I280" s="3" t="s">
        <v>7043</v>
      </c>
      <c r="J280" s="3"/>
      <c r="K280" s="3"/>
      <c r="L280" s="5"/>
    </row>
    <row r="281" spans="1:12" ht="28.8" x14ac:dyDescent="0.55000000000000004">
      <c r="A281" s="9" t="str">
        <f>HYPERLINK("PDF\FOIA-FWS-2020-00724-0000280.pdf","FOIA-FWS-2020-00724-0000280")</f>
        <v>FOIA-FWS-2020-00724-0000280</v>
      </c>
      <c r="B281" s="3" t="s">
        <v>578</v>
      </c>
      <c r="C281" s="3" t="s">
        <v>3</v>
      </c>
      <c r="D281" s="3" t="s">
        <v>4</v>
      </c>
      <c r="E281" s="3" t="s">
        <v>579</v>
      </c>
      <c r="F281" s="4">
        <v>43009</v>
      </c>
      <c r="G281" s="3"/>
      <c r="H281" s="3"/>
      <c r="I281" s="3" t="s">
        <v>7043</v>
      </c>
      <c r="J281" s="3"/>
      <c r="K281" s="3"/>
      <c r="L281" s="5"/>
    </row>
    <row r="282" spans="1:12" ht="43.2" x14ac:dyDescent="0.55000000000000004">
      <c r="A282" s="9" t="str">
        <f>HYPERLINK("PDF\FOIA-FWS-2020-00724-0000281.pdf","FOIA-FWS-2020-00724-0000281")</f>
        <v>FOIA-FWS-2020-00724-0000281</v>
      </c>
      <c r="B282" s="3" t="s">
        <v>580</v>
      </c>
      <c r="C282" s="3" t="s">
        <v>3</v>
      </c>
      <c r="D282" s="3" t="s">
        <v>4</v>
      </c>
      <c r="E282" s="3" t="s">
        <v>581</v>
      </c>
      <c r="F282" s="4">
        <v>43020</v>
      </c>
      <c r="G282" s="3"/>
      <c r="H282" s="3"/>
      <c r="I282" s="3" t="s">
        <v>7043</v>
      </c>
      <c r="J282" s="3"/>
      <c r="K282" s="3"/>
      <c r="L282" s="5"/>
    </row>
    <row r="283" spans="1:12" ht="28.8" x14ac:dyDescent="0.55000000000000004">
      <c r="A283" s="9" t="str">
        <f>HYPERLINK("PDF\FOIA-FWS-2020-00724-0000282.pdf","FOIA-FWS-2020-00724-0000282")</f>
        <v>FOIA-FWS-2020-00724-0000282</v>
      </c>
      <c r="B283" s="3" t="s">
        <v>582</v>
      </c>
      <c r="C283" s="3" t="s">
        <v>3</v>
      </c>
      <c r="D283" s="3" t="s">
        <v>33</v>
      </c>
      <c r="E283" s="3" t="s">
        <v>583</v>
      </c>
      <c r="F283" s="4">
        <v>43038</v>
      </c>
      <c r="G283" s="3"/>
      <c r="H283" s="3"/>
      <c r="I283" s="3" t="s">
        <v>7043</v>
      </c>
      <c r="J283" s="3"/>
      <c r="K283" s="3"/>
      <c r="L283" s="5"/>
    </row>
    <row r="284" spans="1:12" ht="28.8" x14ac:dyDescent="0.55000000000000004">
      <c r="A284" s="9" t="str">
        <f>HYPERLINK("PDF\FOIA-FWS-2020-00724-0000283.pdf","FOIA-FWS-2020-00724-0000283")</f>
        <v>FOIA-FWS-2020-00724-0000283</v>
      </c>
      <c r="B284" s="3" t="s">
        <v>584</v>
      </c>
      <c r="C284" s="3" t="s">
        <v>3</v>
      </c>
      <c r="D284" s="3" t="s">
        <v>4</v>
      </c>
      <c r="E284" s="3" t="s">
        <v>585</v>
      </c>
      <c r="F284" s="4">
        <v>43042</v>
      </c>
      <c r="G284" s="3"/>
      <c r="H284" s="3"/>
      <c r="I284" s="3" t="s">
        <v>7043</v>
      </c>
      <c r="J284" s="3"/>
      <c r="K284" s="3"/>
      <c r="L284" s="5"/>
    </row>
    <row r="285" spans="1:12" ht="28.8" x14ac:dyDescent="0.55000000000000004">
      <c r="A285" s="9" t="str">
        <f>HYPERLINK("PDF\FOIA-FWS-2020-00724-0000284.pdf","FOIA-FWS-2020-00724-0000284")</f>
        <v>FOIA-FWS-2020-00724-0000284</v>
      </c>
      <c r="B285" s="3" t="s">
        <v>586</v>
      </c>
      <c r="C285" s="3" t="s">
        <v>3</v>
      </c>
      <c r="D285" s="3" t="s">
        <v>33</v>
      </c>
      <c r="E285" s="3" t="s">
        <v>587</v>
      </c>
      <c r="F285" s="4">
        <v>43047.458333333336</v>
      </c>
      <c r="G285" s="3"/>
      <c r="H285" s="3"/>
      <c r="I285" s="3" t="s">
        <v>7043</v>
      </c>
      <c r="J285" s="3"/>
      <c r="K285" s="3"/>
      <c r="L285" s="5"/>
    </row>
    <row r="286" spans="1:12" ht="28.8" x14ac:dyDescent="0.55000000000000004">
      <c r="A286" s="9" t="str">
        <f>HYPERLINK("PDF\FOIA-FWS-2020-00724-0000285.pdf","FOIA-FWS-2020-00724-0000285")</f>
        <v>FOIA-FWS-2020-00724-0000285</v>
      </c>
      <c r="B286" s="3" t="s">
        <v>588</v>
      </c>
      <c r="C286" s="3" t="s">
        <v>3</v>
      </c>
      <c r="D286" s="3" t="s">
        <v>4</v>
      </c>
      <c r="E286" s="3" t="s">
        <v>589</v>
      </c>
      <c r="F286" s="4">
        <v>43059</v>
      </c>
      <c r="G286" s="3"/>
      <c r="H286" s="3"/>
      <c r="I286" s="3" t="s">
        <v>7043</v>
      </c>
      <c r="J286" s="3"/>
      <c r="K286" s="3"/>
      <c r="L286" s="5"/>
    </row>
    <row r="287" spans="1:12" ht="28.8" x14ac:dyDescent="0.55000000000000004">
      <c r="A287" s="9" t="str">
        <f>HYPERLINK("PDF\FOIA-FWS-2020-00724-0000286.pdf","FOIA-FWS-2020-00724-0000286")</f>
        <v>FOIA-FWS-2020-00724-0000286</v>
      </c>
      <c r="B287" s="3" t="s">
        <v>590</v>
      </c>
      <c r="C287" s="3" t="s">
        <v>3</v>
      </c>
      <c r="D287" s="3" t="s">
        <v>33</v>
      </c>
      <c r="E287" s="3" t="s">
        <v>593</v>
      </c>
      <c r="F287" s="4">
        <v>43063.591666666667</v>
      </c>
      <c r="G287" s="3" t="s">
        <v>591</v>
      </c>
      <c r="H287" s="3" t="s">
        <v>592</v>
      </c>
      <c r="I287" s="3" t="s">
        <v>7043</v>
      </c>
      <c r="J287" s="3"/>
      <c r="K287" s="3"/>
      <c r="L287" s="5"/>
    </row>
    <row r="288" spans="1:12" ht="28.8" x14ac:dyDescent="0.55000000000000004">
      <c r="A288" s="9" t="str">
        <f>HYPERLINK("PDF\FOIA-FWS-2020-00724-0000287.pdf","FOIA-FWS-2020-00724-0000287")</f>
        <v>FOIA-FWS-2020-00724-0000287</v>
      </c>
      <c r="B288" s="3" t="s">
        <v>594</v>
      </c>
      <c r="C288" s="3" t="s">
        <v>3</v>
      </c>
      <c r="D288" s="3" t="s">
        <v>38</v>
      </c>
      <c r="E288" s="3" t="s">
        <v>595</v>
      </c>
      <c r="F288" s="4">
        <v>43065</v>
      </c>
      <c r="G288" s="3"/>
      <c r="H288" s="3"/>
      <c r="I288" s="3" t="s">
        <v>7043</v>
      </c>
      <c r="J288" s="3"/>
      <c r="K288" s="3"/>
      <c r="L288" s="5"/>
    </row>
    <row r="289" spans="1:12" ht="43.2" x14ac:dyDescent="0.55000000000000004">
      <c r="A289" s="9" t="str">
        <f>HYPERLINK("PDF\FOIA-FWS-2020-00724-0000288.pdf","FOIA-FWS-2020-00724-0000288")</f>
        <v>FOIA-FWS-2020-00724-0000288</v>
      </c>
      <c r="B289" s="3" t="s">
        <v>596</v>
      </c>
      <c r="C289" s="3" t="s">
        <v>3</v>
      </c>
      <c r="D289" s="3" t="s">
        <v>4</v>
      </c>
      <c r="E289" s="3" t="s">
        <v>597</v>
      </c>
      <c r="F289" s="4">
        <v>43069</v>
      </c>
      <c r="G289" s="3"/>
      <c r="H289" s="3"/>
      <c r="I289" s="3" t="s">
        <v>7043</v>
      </c>
      <c r="J289" s="3"/>
      <c r="K289" s="3"/>
      <c r="L289" s="5"/>
    </row>
    <row r="290" spans="1:12" ht="72" x14ac:dyDescent="0.55000000000000004">
      <c r="A290" s="9" t="str">
        <f>HYPERLINK("PDF\FOIA-FWS-2020-00724-0000289.pdf","FOIA-FWS-2020-00724-0000289")</f>
        <v>FOIA-FWS-2020-00724-0000289</v>
      </c>
      <c r="B290" s="3" t="s">
        <v>598</v>
      </c>
      <c r="C290" s="3" t="s">
        <v>3</v>
      </c>
      <c r="D290" s="3" t="s">
        <v>33</v>
      </c>
      <c r="E290" s="3" t="s">
        <v>601</v>
      </c>
      <c r="F290" s="4">
        <v>43069.755555555559</v>
      </c>
      <c r="G290" s="3" t="s">
        <v>599</v>
      </c>
      <c r="H290" s="3" t="s">
        <v>600</v>
      </c>
      <c r="I290" s="3" t="s">
        <v>7043</v>
      </c>
      <c r="J290" s="3"/>
      <c r="K290" s="3"/>
      <c r="L290" s="5"/>
    </row>
    <row r="291" spans="1:12" ht="28.8" x14ac:dyDescent="0.55000000000000004">
      <c r="A291" s="9" t="str">
        <f>HYPERLINK("PDF\FOIA-FWS-2020-00724-0000290.pdf","FOIA-FWS-2020-00724-0000290")</f>
        <v>FOIA-FWS-2020-00724-0000290</v>
      </c>
      <c r="B291" s="3" t="s">
        <v>598</v>
      </c>
      <c r="C291" s="3" t="s">
        <v>234</v>
      </c>
      <c r="D291" s="3" t="s">
        <v>33</v>
      </c>
      <c r="E291" s="3" t="s">
        <v>602</v>
      </c>
      <c r="F291" s="4">
        <v>43069.755555555559</v>
      </c>
      <c r="G291" s="3"/>
      <c r="H291" s="3"/>
      <c r="I291" s="3" t="s">
        <v>7043</v>
      </c>
      <c r="J291" s="3"/>
      <c r="K291" s="3"/>
      <c r="L291" s="5"/>
    </row>
    <row r="292" spans="1:12" ht="28.8" x14ac:dyDescent="0.55000000000000004">
      <c r="A292" s="9" t="str">
        <f>HYPERLINK("PDF\FOIA-FWS-2020-00724-0000291.pdf","FOIA-FWS-2020-00724-0000291")</f>
        <v>FOIA-FWS-2020-00724-0000291</v>
      </c>
      <c r="B292" s="3" t="s">
        <v>603</v>
      </c>
      <c r="C292" s="3" t="s">
        <v>3</v>
      </c>
      <c r="D292" s="3" t="s">
        <v>33</v>
      </c>
      <c r="E292" s="3" t="s">
        <v>604</v>
      </c>
      <c r="F292" s="4">
        <v>43070</v>
      </c>
      <c r="G292" s="3"/>
      <c r="H292" s="3"/>
      <c r="I292" s="3" t="s">
        <v>7043</v>
      </c>
      <c r="J292" s="3"/>
      <c r="K292" s="3"/>
      <c r="L292" s="5"/>
    </row>
    <row r="293" spans="1:12" ht="28.8" x14ac:dyDescent="0.55000000000000004">
      <c r="A293" s="9" t="str">
        <f>HYPERLINK("PDF\FOIA-FWS-2020-00724-0000292.pdf","FOIA-FWS-2020-00724-0000292")</f>
        <v>FOIA-FWS-2020-00724-0000292</v>
      </c>
      <c r="B293" s="3" t="s">
        <v>605</v>
      </c>
      <c r="C293" s="3" t="s">
        <v>3</v>
      </c>
      <c r="D293" s="3" t="s">
        <v>4</v>
      </c>
      <c r="E293" s="3" t="s">
        <v>606</v>
      </c>
      <c r="F293" s="4">
        <v>43070</v>
      </c>
      <c r="G293" s="3"/>
      <c r="H293" s="3"/>
      <c r="I293" s="3" t="s">
        <v>7043</v>
      </c>
      <c r="J293" s="3"/>
      <c r="K293" s="3"/>
      <c r="L293" s="5"/>
    </row>
    <row r="294" spans="1:12" ht="28.8" x14ac:dyDescent="0.55000000000000004">
      <c r="A294" s="9" t="str">
        <f>HYPERLINK("PDF\FOIA-FWS-2020-00724-0000293.pdf","FOIA-FWS-2020-00724-0000293")</f>
        <v>FOIA-FWS-2020-00724-0000293</v>
      </c>
      <c r="B294" s="3" t="s">
        <v>607</v>
      </c>
      <c r="C294" s="3" t="s">
        <v>3</v>
      </c>
      <c r="D294" s="3" t="s">
        <v>4</v>
      </c>
      <c r="E294" s="3" t="s">
        <v>608</v>
      </c>
      <c r="F294" s="4">
        <v>43083</v>
      </c>
      <c r="G294" s="3"/>
      <c r="H294" s="3"/>
      <c r="I294" s="3" t="s">
        <v>7043</v>
      </c>
      <c r="J294" s="3"/>
      <c r="K294" s="3"/>
      <c r="L294" s="5"/>
    </row>
    <row r="295" spans="1:12" ht="28.8" x14ac:dyDescent="0.55000000000000004">
      <c r="A295" s="9" t="str">
        <f>HYPERLINK("PDF\FOIA-FWS-2020-00724-0000294.pdf","FOIA-FWS-2020-00724-0000294")</f>
        <v>FOIA-FWS-2020-00724-0000294</v>
      </c>
      <c r="B295" s="3" t="s">
        <v>609</v>
      </c>
      <c r="C295" s="3" t="s">
        <v>3</v>
      </c>
      <c r="D295" s="3" t="s">
        <v>4</v>
      </c>
      <c r="E295" s="3" t="s">
        <v>610</v>
      </c>
      <c r="F295" s="4">
        <v>43091</v>
      </c>
      <c r="G295" s="3"/>
      <c r="H295" s="3"/>
      <c r="I295" s="3" t="s">
        <v>7043</v>
      </c>
      <c r="J295" s="3"/>
      <c r="K295" s="3"/>
      <c r="L295" s="5"/>
    </row>
    <row r="296" spans="1:12" ht="28.8" x14ac:dyDescent="0.55000000000000004">
      <c r="A296" s="9" t="str">
        <f>HYPERLINK("PDF\FOIA-FWS-2020-00724-0000295.pdf","FOIA-FWS-2020-00724-0000295")</f>
        <v>FOIA-FWS-2020-00724-0000295</v>
      </c>
      <c r="B296" s="3" t="s">
        <v>611</v>
      </c>
      <c r="C296" s="3" t="s">
        <v>3</v>
      </c>
      <c r="D296" s="3" t="s">
        <v>4</v>
      </c>
      <c r="E296" s="3" t="s">
        <v>612</v>
      </c>
      <c r="F296" s="4">
        <v>43092</v>
      </c>
      <c r="G296" s="3"/>
      <c r="H296" s="3"/>
      <c r="I296" s="3" t="s">
        <v>7043</v>
      </c>
      <c r="J296" s="3"/>
      <c r="K296" s="3"/>
      <c r="L296" s="5"/>
    </row>
    <row r="297" spans="1:12" ht="28.8" x14ac:dyDescent="0.55000000000000004">
      <c r="A297" s="9" t="str">
        <f>HYPERLINK("PDF\FOIA-FWS-2020-00724-0000296.pdf","FOIA-FWS-2020-00724-0000296")</f>
        <v>FOIA-FWS-2020-00724-0000296</v>
      </c>
      <c r="B297" s="3" t="s">
        <v>613</v>
      </c>
      <c r="C297" s="3" t="s">
        <v>3</v>
      </c>
      <c r="D297" s="3" t="s">
        <v>4</v>
      </c>
      <c r="E297" s="3" t="s">
        <v>614</v>
      </c>
      <c r="F297" s="4">
        <v>43101</v>
      </c>
      <c r="G297" s="3"/>
      <c r="H297" s="3"/>
      <c r="I297" s="3" t="s">
        <v>7043</v>
      </c>
      <c r="J297" s="3"/>
      <c r="K297" s="3"/>
      <c r="L297" s="5"/>
    </row>
    <row r="298" spans="1:12" ht="28.8" x14ac:dyDescent="0.55000000000000004">
      <c r="A298" s="9" t="str">
        <f>HYPERLINK("PDF\FOIA-FWS-2020-00724-0000297.pdf","FOIA-FWS-2020-00724-0000297")</f>
        <v>FOIA-FWS-2020-00724-0000297</v>
      </c>
      <c r="B298" s="3" t="s">
        <v>615</v>
      </c>
      <c r="C298" s="3" t="s">
        <v>3</v>
      </c>
      <c r="D298" s="3" t="s">
        <v>4</v>
      </c>
      <c r="E298" s="3" t="s">
        <v>616</v>
      </c>
      <c r="F298" s="4">
        <v>43101</v>
      </c>
      <c r="G298" s="3"/>
      <c r="H298" s="3"/>
      <c r="I298" s="3" t="s">
        <v>7043</v>
      </c>
      <c r="J298" s="3"/>
      <c r="K298" s="3"/>
      <c r="L298" s="5"/>
    </row>
    <row r="299" spans="1:12" ht="28.8" x14ac:dyDescent="0.55000000000000004">
      <c r="A299" s="9" t="str">
        <f>HYPERLINK("PDF\FOIA-FWS-2020-00724-0000298.pdf","FOIA-FWS-2020-00724-0000298")</f>
        <v>FOIA-FWS-2020-00724-0000298</v>
      </c>
      <c r="B299" s="3" t="s">
        <v>617</v>
      </c>
      <c r="C299" s="3" t="s">
        <v>3</v>
      </c>
      <c r="D299" s="3" t="s">
        <v>4</v>
      </c>
      <c r="E299" s="3" t="s">
        <v>618</v>
      </c>
      <c r="F299" s="4">
        <v>43101</v>
      </c>
      <c r="G299" s="3"/>
      <c r="H299" s="3"/>
      <c r="I299" s="3" t="s">
        <v>7043</v>
      </c>
      <c r="J299" s="3"/>
      <c r="K299" s="3"/>
      <c r="L299" s="5"/>
    </row>
    <row r="300" spans="1:12" ht="43.2" x14ac:dyDescent="0.55000000000000004">
      <c r="A300" s="9" t="str">
        <f>HYPERLINK("PDF\FOIA-FWS-2020-00724-0000299.pdf","FOIA-FWS-2020-00724-0000299")</f>
        <v>FOIA-FWS-2020-00724-0000299</v>
      </c>
      <c r="B300" s="3" t="s">
        <v>619</v>
      </c>
      <c r="C300" s="3" t="s">
        <v>3</v>
      </c>
      <c r="D300" s="3" t="s">
        <v>4</v>
      </c>
      <c r="E300" s="3" t="s">
        <v>620</v>
      </c>
      <c r="F300" s="4">
        <v>43101</v>
      </c>
      <c r="G300" s="3"/>
      <c r="H300" s="3"/>
      <c r="I300" s="3" t="s">
        <v>7043</v>
      </c>
      <c r="J300" s="3"/>
      <c r="K300" s="3"/>
      <c r="L300" s="5"/>
    </row>
    <row r="301" spans="1:12" ht="28.8" x14ac:dyDescent="0.55000000000000004">
      <c r="A301" s="9" t="str">
        <f>HYPERLINK("PDF\FOIA-FWS-2020-00724-0000300.pdf","FOIA-FWS-2020-00724-0000300")</f>
        <v>FOIA-FWS-2020-00724-0000300</v>
      </c>
      <c r="B301" s="3" t="s">
        <v>621</v>
      </c>
      <c r="C301" s="3" t="s">
        <v>3</v>
      </c>
      <c r="D301" s="3" t="s">
        <v>4</v>
      </c>
      <c r="E301" s="3" t="s">
        <v>622</v>
      </c>
      <c r="F301" s="4">
        <v>43101</v>
      </c>
      <c r="G301" s="3"/>
      <c r="H301" s="3"/>
      <c r="I301" s="3" t="s">
        <v>7043</v>
      </c>
      <c r="J301" s="3"/>
      <c r="K301" s="3"/>
      <c r="L301" s="5"/>
    </row>
    <row r="302" spans="1:12" ht="28.8" x14ac:dyDescent="0.55000000000000004">
      <c r="A302" s="9" t="str">
        <f>HYPERLINK("PDF\FOIA-FWS-2020-00724-0000301.pdf","FOIA-FWS-2020-00724-0000301")</f>
        <v>FOIA-FWS-2020-00724-0000301</v>
      </c>
      <c r="B302" s="3" t="s">
        <v>623</v>
      </c>
      <c r="C302" s="3" t="s">
        <v>3</v>
      </c>
      <c r="D302" s="3" t="s">
        <v>4</v>
      </c>
      <c r="E302" s="3" t="s">
        <v>624</v>
      </c>
      <c r="F302" s="4">
        <v>43101</v>
      </c>
      <c r="G302" s="3"/>
      <c r="H302" s="3"/>
      <c r="I302" s="3" t="s">
        <v>7043</v>
      </c>
      <c r="J302" s="3"/>
      <c r="K302" s="3"/>
      <c r="L302" s="5"/>
    </row>
    <row r="303" spans="1:12" ht="28.8" x14ac:dyDescent="0.55000000000000004">
      <c r="A303" s="9" t="str">
        <f>HYPERLINK("PDF\FOIA-FWS-2020-00724-0000302.pdf","FOIA-FWS-2020-00724-0000302")</f>
        <v>FOIA-FWS-2020-00724-0000302</v>
      </c>
      <c r="B303" s="3" t="s">
        <v>625</v>
      </c>
      <c r="C303" s="3" t="s">
        <v>3</v>
      </c>
      <c r="D303" s="3" t="s">
        <v>33</v>
      </c>
      <c r="E303" s="3" t="s">
        <v>626</v>
      </c>
      <c r="F303" s="4">
        <v>43101</v>
      </c>
      <c r="G303" s="3"/>
      <c r="H303" s="3"/>
      <c r="I303" s="3" t="s">
        <v>7043</v>
      </c>
      <c r="J303" s="3"/>
      <c r="K303" s="3"/>
      <c r="L303" s="5"/>
    </row>
    <row r="304" spans="1:12" ht="28.8" x14ac:dyDescent="0.55000000000000004">
      <c r="A304" s="9" t="str">
        <f>HYPERLINK("PDF\FOIA-FWS-2020-00724-0000303.pdf","FOIA-FWS-2020-00724-0000303")</f>
        <v>FOIA-FWS-2020-00724-0000303</v>
      </c>
      <c r="B304" s="3" t="s">
        <v>627</v>
      </c>
      <c r="C304" s="3" t="s">
        <v>3</v>
      </c>
      <c r="D304" s="3" t="s">
        <v>4</v>
      </c>
      <c r="E304" s="3" t="s">
        <v>628</v>
      </c>
      <c r="F304" s="4">
        <v>43101</v>
      </c>
      <c r="G304" s="3"/>
      <c r="H304" s="3"/>
      <c r="I304" s="3" t="s">
        <v>7043</v>
      </c>
      <c r="J304" s="3"/>
      <c r="K304" s="3"/>
      <c r="L304" s="5"/>
    </row>
    <row r="305" spans="1:12" ht="43.2" x14ac:dyDescent="0.55000000000000004">
      <c r="A305" s="9" t="str">
        <f>HYPERLINK("PDF\FOIA-FWS-2020-00724-0000304.pdf","FOIA-FWS-2020-00724-0000304")</f>
        <v>FOIA-FWS-2020-00724-0000304</v>
      </c>
      <c r="B305" s="3" t="s">
        <v>629</v>
      </c>
      <c r="C305" s="3" t="s">
        <v>3</v>
      </c>
      <c r="D305" s="3" t="s">
        <v>4</v>
      </c>
      <c r="E305" s="3" t="s">
        <v>630</v>
      </c>
      <c r="F305" s="4">
        <v>43101</v>
      </c>
      <c r="G305" s="3"/>
      <c r="H305" s="3"/>
      <c r="I305" s="3" t="s">
        <v>7043</v>
      </c>
      <c r="J305" s="3"/>
      <c r="K305" s="3"/>
      <c r="L305" s="5"/>
    </row>
    <row r="306" spans="1:12" ht="28.8" x14ac:dyDescent="0.55000000000000004">
      <c r="A306" s="9" t="str">
        <f>HYPERLINK("PDF\FOIA-FWS-2020-00724-0000305.pdf","FOIA-FWS-2020-00724-0000305")</f>
        <v>FOIA-FWS-2020-00724-0000305</v>
      </c>
      <c r="B306" s="3" t="s">
        <v>631</v>
      </c>
      <c r="C306" s="3" t="s">
        <v>3</v>
      </c>
      <c r="D306" s="3" t="s">
        <v>4</v>
      </c>
      <c r="E306" s="3" t="s">
        <v>632</v>
      </c>
      <c r="F306" s="4">
        <v>43101</v>
      </c>
      <c r="G306" s="3"/>
      <c r="H306" s="3"/>
      <c r="I306" s="3" t="s">
        <v>7043</v>
      </c>
      <c r="J306" s="3"/>
      <c r="K306" s="3"/>
      <c r="L306" s="5"/>
    </row>
    <row r="307" spans="1:12" ht="28.8" x14ac:dyDescent="0.55000000000000004">
      <c r="A307" s="9" t="str">
        <f>HYPERLINK("PDF\FOIA-FWS-2020-00724-0000306.pdf","FOIA-FWS-2020-00724-0000306")</f>
        <v>FOIA-FWS-2020-00724-0000306</v>
      </c>
      <c r="B307" s="3" t="s">
        <v>633</v>
      </c>
      <c r="C307" s="3" t="s">
        <v>3</v>
      </c>
      <c r="D307" s="3" t="s">
        <v>4</v>
      </c>
      <c r="E307" s="3" t="s">
        <v>634</v>
      </c>
      <c r="F307" s="4">
        <v>43101</v>
      </c>
      <c r="G307" s="3"/>
      <c r="H307" s="3"/>
      <c r="I307" s="3" t="s">
        <v>7043</v>
      </c>
      <c r="J307" s="3"/>
      <c r="K307" s="3"/>
      <c r="L307" s="5"/>
    </row>
    <row r="308" spans="1:12" ht="28.8" x14ac:dyDescent="0.55000000000000004">
      <c r="A308" s="9" t="str">
        <f>HYPERLINK("PDF\FOIA-FWS-2020-00724-0000307.pdf","FOIA-FWS-2020-00724-0000307")</f>
        <v>FOIA-FWS-2020-00724-0000307</v>
      </c>
      <c r="B308" s="3" t="s">
        <v>635</v>
      </c>
      <c r="C308" s="3" t="s">
        <v>3</v>
      </c>
      <c r="D308" s="3" t="s">
        <v>4</v>
      </c>
      <c r="E308" s="3" t="s">
        <v>636</v>
      </c>
      <c r="F308" s="4">
        <v>43101</v>
      </c>
      <c r="G308" s="3"/>
      <c r="H308" s="3"/>
      <c r="I308" s="3" t="s">
        <v>7043</v>
      </c>
      <c r="J308" s="3"/>
      <c r="K308" s="3"/>
      <c r="L308" s="5"/>
    </row>
    <row r="309" spans="1:12" ht="28.8" x14ac:dyDescent="0.55000000000000004">
      <c r="A309" s="9" t="str">
        <f>HYPERLINK("PDF\FOIA-FWS-2020-00724-0000308.pdf","FOIA-FWS-2020-00724-0000308")</f>
        <v>FOIA-FWS-2020-00724-0000308</v>
      </c>
      <c r="B309" s="3" t="s">
        <v>637</v>
      </c>
      <c r="C309" s="3" t="s">
        <v>3</v>
      </c>
      <c r="D309" s="3" t="s">
        <v>4</v>
      </c>
      <c r="E309" s="3" t="s">
        <v>638</v>
      </c>
      <c r="F309" s="4">
        <v>43101</v>
      </c>
      <c r="G309" s="3"/>
      <c r="H309" s="3"/>
      <c r="I309" s="3" t="s">
        <v>7043</v>
      </c>
      <c r="J309" s="3"/>
      <c r="K309" s="3"/>
      <c r="L309" s="5"/>
    </row>
    <row r="310" spans="1:12" ht="28.8" x14ac:dyDescent="0.55000000000000004">
      <c r="A310" s="9" t="str">
        <f>HYPERLINK("PDF\FOIA-FWS-2020-00724-0000309.pdf","FOIA-FWS-2020-00724-0000309")</f>
        <v>FOIA-FWS-2020-00724-0000309</v>
      </c>
      <c r="B310" s="3" t="s">
        <v>639</v>
      </c>
      <c r="C310" s="3" t="s">
        <v>3</v>
      </c>
      <c r="D310" s="3" t="s">
        <v>4</v>
      </c>
      <c r="E310" s="3" t="s">
        <v>640</v>
      </c>
      <c r="F310" s="4">
        <v>43101</v>
      </c>
      <c r="G310" s="3"/>
      <c r="H310" s="3"/>
      <c r="I310" s="3" t="s">
        <v>7043</v>
      </c>
      <c r="J310" s="3"/>
      <c r="K310" s="3"/>
      <c r="L310" s="5"/>
    </row>
    <row r="311" spans="1:12" ht="28.8" x14ac:dyDescent="0.55000000000000004">
      <c r="A311" s="9" t="str">
        <f>HYPERLINK("PDF\FOIA-FWS-2020-00724-0000310.pdf","FOIA-FWS-2020-00724-0000310")</f>
        <v>FOIA-FWS-2020-00724-0000310</v>
      </c>
      <c r="B311" s="3" t="s">
        <v>641</v>
      </c>
      <c r="C311" s="3" t="s">
        <v>3</v>
      </c>
      <c r="D311" s="3" t="s">
        <v>4</v>
      </c>
      <c r="E311" s="3" t="s">
        <v>642</v>
      </c>
      <c r="F311" s="4">
        <v>43101</v>
      </c>
      <c r="G311" s="3"/>
      <c r="H311" s="3"/>
      <c r="I311" s="3" t="s">
        <v>7043</v>
      </c>
      <c r="J311" s="3"/>
      <c r="K311" s="3"/>
      <c r="L311" s="5"/>
    </row>
    <row r="312" spans="1:12" ht="28.8" x14ac:dyDescent="0.55000000000000004">
      <c r="A312" s="9" t="str">
        <f>HYPERLINK("PDF\FOIA-FWS-2020-00724-0000311.pdf","FOIA-FWS-2020-00724-0000311")</f>
        <v>FOIA-FWS-2020-00724-0000311</v>
      </c>
      <c r="B312" s="3" t="s">
        <v>643</v>
      </c>
      <c r="C312" s="3" t="s">
        <v>3</v>
      </c>
      <c r="D312" s="3" t="s">
        <v>4</v>
      </c>
      <c r="E312" s="3" t="s">
        <v>644</v>
      </c>
      <c r="F312" s="4">
        <v>43101</v>
      </c>
      <c r="G312" s="3"/>
      <c r="H312" s="3"/>
      <c r="I312" s="3" t="s">
        <v>7043</v>
      </c>
      <c r="J312" s="3"/>
      <c r="K312" s="3"/>
      <c r="L312" s="5"/>
    </row>
    <row r="313" spans="1:12" ht="28.8" x14ac:dyDescent="0.55000000000000004">
      <c r="A313" s="9" t="str">
        <f>HYPERLINK("PDF\FOIA-FWS-2020-00724-0000312.pdf","FOIA-FWS-2020-00724-0000312")</f>
        <v>FOIA-FWS-2020-00724-0000312</v>
      </c>
      <c r="B313" s="3" t="s">
        <v>645</v>
      </c>
      <c r="C313" s="3" t="s">
        <v>3</v>
      </c>
      <c r="D313" s="3" t="s">
        <v>4</v>
      </c>
      <c r="E313" s="3" t="s">
        <v>646</v>
      </c>
      <c r="F313" s="4">
        <v>43101</v>
      </c>
      <c r="G313" s="3"/>
      <c r="H313" s="3"/>
      <c r="I313" s="3" t="s">
        <v>7043</v>
      </c>
      <c r="J313" s="3"/>
      <c r="K313" s="3"/>
      <c r="L313" s="5"/>
    </row>
    <row r="314" spans="1:12" ht="28.8" x14ac:dyDescent="0.55000000000000004">
      <c r="A314" s="9" t="str">
        <f>HYPERLINK("PDF\FOIA-FWS-2020-00724-0000313.pdf","FOIA-FWS-2020-00724-0000313")</f>
        <v>FOIA-FWS-2020-00724-0000313</v>
      </c>
      <c r="B314" s="3" t="s">
        <v>647</v>
      </c>
      <c r="C314" s="3" t="s">
        <v>3</v>
      </c>
      <c r="D314" s="3" t="s">
        <v>4</v>
      </c>
      <c r="E314" s="3" t="s">
        <v>648</v>
      </c>
      <c r="F314" s="4">
        <v>43101</v>
      </c>
      <c r="G314" s="3"/>
      <c r="H314" s="3"/>
      <c r="I314" s="3" t="s">
        <v>7043</v>
      </c>
      <c r="J314" s="3"/>
      <c r="K314" s="3"/>
      <c r="L314" s="5"/>
    </row>
    <row r="315" spans="1:12" ht="28.8" x14ac:dyDescent="0.55000000000000004">
      <c r="A315" s="9" t="str">
        <f>HYPERLINK("PDF\FOIA-FWS-2020-00724-0000314.pdf","FOIA-FWS-2020-00724-0000314")</f>
        <v>FOIA-FWS-2020-00724-0000314</v>
      </c>
      <c r="B315" s="3" t="s">
        <v>649</v>
      </c>
      <c r="C315" s="3" t="s">
        <v>3</v>
      </c>
      <c r="D315" s="3" t="s">
        <v>4</v>
      </c>
      <c r="E315" s="3" t="s">
        <v>650</v>
      </c>
      <c r="F315" s="4">
        <v>43101</v>
      </c>
      <c r="G315" s="3"/>
      <c r="H315" s="3"/>
      <c r="I315" s="3" t="s">
        <v>7043</v>
      </c>
      <c r="J315" s="3"/>
      <c r="K315" s="3"/>
      <c r="L315" s="5"/>
    </row>
    <row r="316" spans="1:12" ht="28.8" x14ac:dyDescent="0.55000000000000004">
      <c r="A316" s="9" t="str">
        <f>HYPERLINK("PDF\FOIA-FWS-2020-00724-0000315.pdf","FOIA-FWS-2020-00724-0000315")</f>
        <v>FOIA-FWS-2020-00724-0000315</v>
      </c>
      <c r="B316" s="3" t="s">
        <v>651</v>
      </c>
      <c r="C316" s="3" t="s">
        <v>3</v>
      </c>
      <c r="D316" s="3" t="s">
        <v>4</v>
      </c>
      <c r="E316" s="3" t="s">
        <v>652</v>
      </c>
      <c r="F316" s="4">
        <v>43101</v>
      </c>
      <c r="G316" s="3"/>
      <c r="H316" s="3"/>
      <c r="I316" s="3" t="s">
        <v>7043</v>
      </c>
      <c r="J316" s="3"/>
      <c r="K316" s="3"/>
      <c r="L316" s="5"/>
    </row>
    <row r="317" spans="1:12" ht="28.8" x14ac:dyDescent="0.55000000000000004">
      <c r="A317" s="9" t="str">
        <f>HYPERLINK("PDF\FOIA-FWS-2020-00724-0000316.pdf","FOIA-FWS-2020-00724-0000316")</f>
        <v>FOIA-FWS-2020-00724-0000316</v>
      </c>
      <c r="B317" s="3" t="s">
        <v>653</v>
      </c>
      <c r="C317" s="3" t="s">
        <v>3</v>
      </c>
      <c r="D317" s="3" t="s">
        <v>4</v>
      </c>
      <c r="E317" s="3" t="s">
        <v>654</v>
      </c>
      <c r="F317" s="4">
        <v>43101</v>
      </c>
      <c r="G317" s="3"/>
      <c r="H317" s="3"/>
      <c r="I317" s="3" t="s">
        <v>7043</v>
      </c>
      <c r="J317" s="3"/>
      <c r="K317" s="3"/>
      <c r="L317" s="5"/>
    </row>
    <row r="318" spans="1:12" ht="28.8" x14ac:dyDescent="0.55000000000000004">
      <c r="A318" s="9" t="str">
        <f>HYPERLINK("PDF\FOIA-FWS-2020-00724-0000317.pdf","FOIA-FWS-2020-00724-0000317")</f>
        <v>FOIA-FWS-2020-00724-0000317</v>
      </c>
      <c r="B318" s="3" t="s">
        <v>655</v>
      </c>
      <c r="C318" s="3" t="s">
        <v>3</v>
      </c>
      <c r="D318" s="3" t="s">
        <v>4</v>
      </c>
      <c r="E318" s="3" t="s">
        <v>656</v>
      </c>
      <c r="F318" s="4">
        <v>43101</v>
      </c>
      <c r="G318" s="3"/>
      <c r="H318" s="3"/>
      <c r="I318" s="3" t="s">
        <v>7043</v>
      </c>
      <c r="J318" s="3"/>
      <c r="K318" s="3"/>
      <c r="L318" s="5"/>
    </row>
    <row r="319" spans="1:12" ht="28.8" x14ac:dyDescent="0.55000000000000004">
      <c r="A319" s="9" t="str">
        <f>HYPERLINK("PDF\FOIA-FWS-2020-00724-0000318.pdf","FOIA-FWS-2020-00724-0000318")</f>
        <v>FOIA-FWS-2020-00724-0000318</v>
      </c>
      <c r="B319" s="3" t="s">
        <v>657</v>
      </c>
      <c r="C319" s="3" t="s">
        <v>3</v>
      </c>
      <c r="D319" s="3" t="s">
        <v>4</v>
      </c>
      <c r="E319" s="3" t="s">
        <v>658</v>
      </c>
      <c r="F319" s="4">
        <v>43101</v>
      </c>
      <c r="G319" s="3"/>
      <c r="H319" s="3"/>
      <c r="I319" s="3" t="s">
        <v>7043</v>
      </c>
      <c r="J319" s="3"/>
      <c r="K319" s="3"/>
      <c r="L319" s="5"/>
    </row>
    <row r="320" spans="1:12" ht="28.8" x14ac:dyDescent="0.55000000000000004">
      <c r="A320" s="9" t="str">
        <f>HYPERLINK("PDF\FOIA-FWS-2020-00724-0000319.pdf","FOIA-FWS-2020-00724-0000319")</f>
        <v>FOIA-FWS-2020-00724-0000319</v>
      </c>
      <c r="B320" s="3" t="s">
        <v>659</v>
      </c>
      <c r="C320" s="3" t="s">
        <v>3</v>
      </c>
      <c r="D320" s="3" t="s">
        <v>33</v>
      </c>
      <c r="E320" s="3" t="s">
        <v>660</v>
      </c>
      <c r="F320" s="4">
        <v>43101</v>
      </c>
      <c r="G320" s="3"/>
      <c r="H320" s="3"/>
      <c r="I320" s="3" t="s">
        <v>7043</v>
      </c>
      <c r="J320" s="3"/>
      <c r="K320" s="3"/>
      <c r="L320" s="5"/>
    </row>
    <row r="321" spans="1:12" ht="28.8" x14ac:dyDescent="0.55000000000000004">
      <c r="A321" s="9" t="str">
        <f>HYPERLINK("PDF\FOIA-FWS-2020-00724-0000320.pdf","FOIA-FWS-2020-00724-0000320")</f>
        <v>FOIA-FWS-2020-00724-0000320</v>
      </c>
      <c r="B321" s="3" t="s">
        <v>661</v>
      </c>
      <c r="C321" s="3" t="s">
        <v>3</v>
      </c>
      <c r="D321" s="3" t="s">
        <v>33</v>
      </c>
      <c r="E321" s="3" t="s">
        <v>662</v>
      </c>
      <c r="F321" s="4">
        <v>43101</v>
      </c>
      <c r="G321" s="3"/>
      <c r="H321" s="3"/>
      <c r="I321" s="3" t="s">
        <v>7043</v>
      </c>
      <c r="J321" s="3"/>
      <c r="K321" s="3"/>
      <c r="L321" s="5"/>
    </row>
    <row r="322" spans="1:12" ht="43.2" x14ac:dyDescent="0.55000000000000004">
      <c r="A322" s="9" t="str">
        <f>HYPERLINK("PDF\FOIA-FWS-2020-00724-0000321.pdf","FOIA-FWS-2020-00724-0000321")</f>
        <v>FOIA-FWS-2020-00724-0000321</v>
      </c>
      <c r="B322" s="3" t="s">
        <v>663</v>
      </c>
      <c r="C322" s="3" t="s">
        <v>3</v>
      </c>
      <c r="D322" s="3" t="s">
        <v>160</v>
      </c>
      <c r="E322" s="3" t="s">
        <v>664</v>
      </c>
      <c r="F322" s="4">
        <v>43101</v>
      </c>
      <c r="G322" s="3"/>
      <c r="H322" s="3"/>
      <c r="I322" s="3" t="s">
        <v>7043</v>
      </c>
      <c r="J322" s="3"/>
      <c r="K322" s="3"/>
      <c r="L322" s="5"/>
    </row>
    <row r="323" spans="1:12" ht="72" x14ac:dyDescent="0.55000000000000004">
      <c r="A323" s="9" t="str">
        <f>HYPERLINK("PDF\FOIA-FWS-2020-00724-0000322.pdf","FOIA-FWS-2020-00724-0000322")</f>
        <v>FOIA-FWS-2020-00724-0000322</v>
      </c>
      <c r="B323" s="3" t="s">
        <v>665</v>
      </c>
      <c r="C323" s="3" t="s">
        <v>3</v>
      </c>
      <c r="D323" s="3" t="s">
        <v>33</v>
      </c>
      <c r="E323" s="3" t="s">
        <v>667</v>
      </c>
      <c r="F323" s="4">
        <v>43104.421527777777</v>
      </c>
      <c r="G323" s="3" t="s">
        <v>592</v>
      </c>
      <c r="H323" s="3" t="s">
        <v>666</v>
      </c>
      <c r="I323" s="3" t="s">
        <v>7043</v>
      </c>
      <c r="J323" s="3"/>
      <c r="K323" s="3"/>
      <c r="L323" s="5"/>
    </row>
    <row r="324" spans="1:12" ht="28.8" x14ac:dyDescent="0.55000000000000004">
      <c r="A324" s="9" t="str">
        <f>HYPERLINK("PDF\FOIA-FWS-2020-00724-0000323.pdf","FOIA-FWS-2020-00724-0000323")</f>
        <v>FOIA-FWS-2020-00724-0000323</v>
      </c>
      <c r="B324" s="3" t="s">
        <v>668</v>
      </c>
      <c r="C324" s="3" t="s">
        <v>3</v>
      </c>
      <c r="D324" s="3" t="s">
        <v>38</v>
      </c>
      <c r="E324" s="3" t="s">
        <v>669</v>
      </c>
      <c r="F324" s="4">
        <v>43105</v>
      </c>
      <c r="G324" s="3"/>
      <c r="H324" s="3"/>
      <c r="I324" s="3" t="s">
        <v>7043</v>
      </c>
      <c r="J324" s="3"/>
      <c r="K324" s="3"/>
      <c r="L324" s="5"/>
    </row>
    <row r="325" spans="1:12" ht="43.2" x14ac:dyDescent="0.55000000000000004">
      <c r="A325" s="9" t="str">
        <f>HYPERLINK("PDF\FOIA-FWS-2020-00724-0000324.pdf","FOIA-FWS-2020-00724-0000324")</f>
        <v>FOIA-FWS-2020-00724-0000324</v>
      </c>
      <c r="B325" s="3" t="s">
        <v>670</v>
      </c>
      <c r="C325" s="3" t="s">
        <v>3</v>
      </c>
      <c r="D325" s="3" t="s">
        <v>4</v>
      </c>
      <c r="E325" s="3" t="s">
        <v>671</v>
      </c>
      <c r="F325" s="4">
        <v>43107</v>
      </c>
      <c r="G325" s="3"/>
      <c r="H325" s="3"/>
      <c r="I325" s="3" t="s">
        <v>7043</v>
      </c>
      <c r="J325" s="3"/>
      <c r="K325" s="3"/>
      <c r="L325" s="5"/>
    </row>
    <row r="326" spans="1:12" ht="43.2" x14ac:dyDescent="0.55000000000000004">
      <c r="A326" s="9" t="str">
        <f>HYPERLINK("PDF\FOIA-FWS-2020-00724-0000325.pdf","FOIA-FWS-2020-00724-0000325")</f>
        <v>FOIA-FWS-2020-00724-0000325</v>
      </c>
      <c r="B326" s="3" t="s">
        <v>672</v>
      </c>
      <c r="C326" s="3" t="s">
        <v>3</v>
      </c>
      <c r="D326" s="3" t="s">
        <v>4</v>
      </c>
      <c r="E326" s="3" t="s">
        <v>673</v>
      </c>
      <c r="F326" s="4">
        <v>43111</v>
      </c>
      <c r="G326" s="3"/>
      <c r="H326" s="3"/>
      <c r="I326" s="3" t="s">
        <v>7043</v>
      </c>
      <c r="J326" s="3"/>
      <c r="K326" s="3"/>
      <c r="L326" s="5"/>
    </row>
    <row r="327" spans="1:12" ht="43.2" x14ac:dyDescent="0.55000000000000004">
      <c r="A327" s="9" t="str">
        <f>HYPERLINK("PDF\FOIA-FWS-2020-00724-0000326.pdf","FOIA-FWS-2020-00724-0000326")</f>
        <v>FOIA-FWS-2020-00724-0000326</v>
      </c>
      <c r="B327" s="3" t="s">
        <v>674</v>
      </c>
      <c r="C327" s="3" t="s">
        <v>3</v>
      </c>
      <c r="D327" s="3" t="s">
        <v>33</v>
      </c>
      <c r="E327" s="3" t="s">
        <v>677</v>
      </c>
      <c r="F327" s="4">
        <v>43111.418055555558</v>
      </c>
      <c r="G327" s="3" t="s">
        <v>675</v>
      </c>
      <c r="H327" s="3" t="s">
        <v>676</v>
      </c>
      <c r="I327" s="3" t="s">
        <v>7043</v>
      </c>
      <c r="J327" s="3"/>
      <c r="K327" s="3"/>
      <c r="L327" s="5"/>
    </row>
    <row r="328" spans="1:12" ht="28.8" x14ac:dyDescent="0.55000000000000004">
      <c r="A328" s="9" t="str">
        <f>HYPERLINK("PDF\FOIA-FWS-2020-00724-0000327.pdf","FOIA-FWS-2020-00724-0000327")</f>
        <v>FOIA-FWS-2020-00724-0000327</v>
      </c>
      <c r="B328" s="3" t="s">
        <v>678</v>
      </c>
      <c r="C328" s="3" t="s">
        <v>3</v>
      </c>
      <c r="D328" s="3" t="s">
        <v>33</v>
      </c>
      <c r="E328" s="3" t="s">
        <v>681</v>
      </c>
      <c r="F328" s="4">
        <v>43111.620138888888</v>
      </c>
      <c r="G328" s="3" t="s">
        <v>679</v>
      </c>
      <c r="H328" s="3" t="s">
        <v>680</v>
      </c>
      <c r="I328" s="3" t="s">
        <v>7043</v>
      </c>
      <c r="J328" s="3"/>
      <c r="K328" s="3"/>
      <c r="L328" s="5"/>
    </row>
    <row r="329" spans="1:12" ht="28.8" x14ac:dyDescent="0.55000000000000004">
      <c r="A329" s="9" t="str">
        <f>HYPERLINK("PDF\FOIA-FWS-2020-00724-0000328.pdf","FOIA-FWS-2020-00724-0000328")</f>
        <v>FOIA-FWS-2020-00724-0000328</v>
      </c>
      <c r="B329" s="3" t="s">
        <v>678</v>
      </c>
      <c r="C329" s="3" t="s">
        <v>234</v>
      </c>
      <c r="D329" s="3" t="s">
        <v>33</v>
      </c>
      <c r="E329" s="3" t="s">
        <v>682</v>
      </c>
      <c r="F329" s="4">
        <v>43111.620138888888</v>
      </c>
      <c r="G329" s="3"/>
      <c r="H329" s="3"/>
      <c r="I329" s="3" t="s">
        <v>7043</v>
      </c>
      <c r="J329" s="3"/>
      <c r="K329" s="3"/>
      <c r="L329" s="5"/>
    </row>
    <row r="330" spans="1:12" ht="43.2" x14ac:dyDescent="0.55000000000000004">
      <c r="A330" s="9" t="str">
        <f>HYPERLINK("PDF\FOIA-FWS-2020-00724-0000329.pdf","FOIA-FWS-2020-00724-0000329")</f>
        <v>FOIA-FWS-2020-00724-0000329</v>
      </c>
      <c r="B330" s="3" t="s">
        <v>683</v>
      </c>
      <c r="C330" s="3" t="s">
        <v>3</v>
      </c>
      <c r="D330" s="3" t="s">
        <v>33</v>
      </c>
      <c r="E330" s="3" t="s">
        <v>684</v>
      </c>
      <c r="F330" s="4">
        <v>43112</v>
      </c>
      <c r="G330" s="3"/>
      <c r="H330" s="3"/>
      <c r="I330" s="3" t="s">
        <v>7043</v>
      </c>
      <c r="J330" s="3"/>
      <c r="K330" s="3"/>
      <c r="L330" s="5"/>
    </row>
    <row r="331" spans="1:12" ht="28.8" x14ac:dyDescent="0.55000000000000004">
      <c r="A331" s="9" t="str">
        <f>HYPERLINK("PDF\FOIA-FWS-2020-00724-0000330.pdf","FOIA-FWS-2020-00724-0000330")</f>
        <v>FOIA-FWS-2020-00724-0000330</v>
      </c>
      <c r="B331" s="3" t="s">
        <v>685</v>
      </c>
      <c r="C331" s="3" t="s">
        <v>3</v>
      </c>
      <c r="D331" s="3" t="s">
        <v>33</v>
      </c>
      <c r="E331" s="3" t="s">
        <v>687</v>
      </c>
      <c r="F331" s="4">
        <v>43112.611111111109</v>
      </c>
      <c r="G331" s="3" t="s">
        <v>686</v>
      </c>
      <c r="H331" s="3" t="s">
        <v>679</v>
      </c>
      <c r="I331" s="3" t="s">
        <v>7043</v>
      </c>
      <c r="J331" s="3"/>
      <c r="K331" s="3"/>
      <c r="L331" s="5"/>
    </row>
    <row r="332" spans="1:12" ht="28.8" x14ac:dyDescent="0.55000000000000004">
      <c r="A332" s="9" t="str">
        <f>HYPERLINK("PDF\FOIA-FWS-2020-00724-0000331.pdf","FOIA-FWS-2020-00724-0000331")</f>
        <v>FOIA-FWS-2020-00724-0000331</v>
      </c>
      <c r="B332" s="3" t="s">
        <v>685</v>
      </c>
      <c r="C332" s="3" t="s">
        <v>234</v>
      </c>
      <c r="D332" s="3" t="s">
        <v>33</v>
      </c>
      <c r="E332" s="3" t="s">
        <v>688</v>
      </c>
      <c r="F332" s="4">
        <v>43112.611111111109</v>
      </c>
      <c r="G332" s="3"/>
      <c r="H332" s="3"/>
      <c r="I332" s="3" t="s">
        <v>7043</v>
      </c>
      <c r="J332" s="3"/>
      <c r="K332" s="3"/>
      <c r="L332" s="5"/>
    </row>
    <row r="333" spans="1:12" ht="28.8" x14ac:dyDescent="0.55000000000000004">
      <c r="A333" s="9" t="str">
        <f>HYPERLINK("PDF\FOIA-FWS-2020-00724-0000332.pdf","FOIA-FWS-2020-00724-0000332")</f>
        <v>FOIA-FWS-2020-00724-0000332</v>
      </c>
      <c r="B333" s="3" t="s">
        <v>689</v>
      </c>
      <c r="C333" s="3" t="s">
        <v>3</v>
      </c>
      <c r="D333" s="3" t="s">
        <v>33</v>
      </c>
      <c r="E333" s="3" t="s">
        <v>692</v>
      </c>
      <c r="F333" s="4">
        <v>43118.759027777778</v>
      </c>
      <c r="G333" s="3" t="s">
        <v>690</v>
      </c>
      <c r="H333" s="3" t="s">
        <v>691</v>
      </c>
      <c r="I333" s="3" t="s">
        <v>7043</v>
      </c>
      <c r="J333" s="3"/>
      <c r="K333" s="3"/>
      <c r="L333" s="5"/>
    </row>
    <row r="334" spans="1:12" ht="28.8" x14ac:dyDescent="0.55000000000000004">
      <c r="A334" s="9" t="str">
        <f>HYPERLINK("PDF\FOIA-FWS-2020-00724-0000333.pdf","FOIA-FWS-2020-00724-0000333")</f>
        <v>FOIA-FWS-2020-00724-0000333</v>
      </c>
      <c r="B334" s="3" t="s">
        <v>689</v>
      </c>
      <c r="C334" s="3" t="s">
        <v>234</v>
      </c>
      <c r="D334" s="3" t="s">
        <v>4</v>
      </c>
      <c r="E334" s="3" t="s">
        <v>693</v>
      </c>
      <c r="F334" s="4">
        <v>43118.759027777778</v>
      </c>
      <c r="G334" s="3"/>
      <c r="H334" s="3"/>
      <c r="I334" s="3" t="s">
        <v>7043</v>
      </c>
      <c r="J334" s="3"/>
      <c r="K334" s="3"/>
      <c r="L334" s="5"/>
    </row>
    <row r="335" spans="1:12" ht="28.8" x14ac:dyDescent="0.55000000000000004">
      <c r="A335" s="9" t="str">
        <f>HYPERLINK("PDF\FOIA-FWS-2020-00724-0000334.pdf","FOIA-FWS-2020-00724-0000334")</f>
        <v>FOIA-FWS-2020-00724-0000334</v>
      </c>
      <c r="B335" s="3" t="s">
        <v>689</v>
      </c>
      <c r="C335" s="3" t="s">
        <v>234</v>
      </c>
      <c r="D335" s="3" t="s">
        <v>4</v>
      </c>
      <c r="E335" s="3" t="s">
        <v>694</v>
      </c>
      <c r="F335" s="4">
        <v>43118.759027777778</v>
      </c>
      <c r="G335" s="3"/>
      <c r="H335" s="3"/>
      <c r="I335" s="3" t="s">
        <v>7043</v>
      </c>
      <c r="J335" s="3"/>
      <c r="K335" s="3"/>
      <c r="L335" s="5"/>
    </row>
    <row r="336" spans="1:12" ht="28.8" x14ac:dyDescent="0.55000000000000004">
      <c r="A336" s="9" t="str">
        <f>HYPERLINK("PDF\FOIA-FWS-2020-00724-0000335.pdf","FOIA-FWS-2020-00724-0000335")</f>
        <v>FOIA-FWS-2020-00724-0000335</v>
      </c>
      <c r="B336" s="3" t="s">
        <v>689</v>
      </c>
      <c r="C336" s="3" t="s">
        <v>234</v>
      </c>
      <c r="D336" s="3" t="s">
        <v>4</v>
      </c>
      <c r="E336" s="3" t="s">
        <v>695</v>
      </c>
      <c r="F336" s="4">
        <v>43118.759027777778</v>
      </c>
      <c r="G336" s="3"/>
      <c r="H336" s="3"/>
      <c r="I336" s="3" t="s">
        <v>7043</v>
      </c>
      <c r="J336" s="3"/>
      <c r="K336" s="3"/>
      <c r="L336" s="5"/>
    </row>
    <row r="337" spans="1:12" ht="57.6" x14ac:dyDescent="0.55000000000000004">
      <c r="A337" s="9" t="str">
        <f>HYPERLINK("PDF\FOIA-FWS-2020-00724-0000336.pdf","FOIA-FWS-2020-00724-0000336")</f>
        <v>FOIA-FWS-2020-00724-0000336</v>
      </c>
      <c r="B337" s="3" t="s">
        <v>696</v>
      </c>
      <c r="C337" s="3" t="s">
        <v>3</v>
      </c>
      <c r="D337" s="3" t="s">
        <v>4</v>
      </c>
      <c r="E337" s="3" t="s">
        <v>697</v>
      </c>
      <c r="F337" s="4">
        <v>43126</v>
      </c>
      <c r="G337" s="3"/>
      <c r="H337" s="3"/>
      <c r="I337" s="3" t="s">
        <v>7043</v>
      </c>
      <c r="J337" s="3"/>
      <c r="K337" s="3"/>
      <c r="L337" s="5"/>
    </row>
    <row r="338" spans="1:12" ht="57.6" x14ac:dyDescent="0.55000000000000004">
      <c r="A338" s="9" t="str">
        <f>HYPERLINK("PDF\FOIA-FWS-2020-00724-0000337.pdf","FOIA-FWS-2020-00724-0000337")</f>
        <v>FOIA-FWS-2020-00724-0000337</v>
      </c>
      <c r="B338" s="3" t="s">
        <v>698</v>
      </c>
      <c r="C338" s="3" t="s">
        <v>3</v>
      </c>
      <c r="D338" s="3" t="s">
        <v>4</v>
      </c>
      <c r="E338" s="3" t="s">
        <v>699</v>
      </c>
      <c r="F338" s="4">
        <v>43126</v>
      </c>
      <c r="G338" s="3"/>
      <c r="H338" s="3"/>
      <c r="I338" s="3" t="s">
        <v>7043</v>
      </c>
      <c r="J338" s="3"/>
      <c r="K338" s="3"/>
      <c r="L338" s="5"/>
    </row>
    <row r="339" spans="1:12" ht="43.2" x14ac:dyDescent="0.55000000000000004">
      <c r="A339" s="9" t="str">
        <f>HYPERLINK("PDF\FOIA-FWS-2020-00724-0000338.pdf","FOIA-FWS-2020-00724-0000338")</f>
        <v>FOIA-FWS-2020-00724-0000338</v>
      </c>
      <c r="B339" s="3" t="s">
        <v>700</v>
      </c>
      <c r="C339" s="3" t="s">
        <v>3</v>
      </c>
      <c r="D339" s="3" t="s">
        <v>4</v>
      </c>
      <c r="E339" s="3" t="s">
        <v>701</v>
      </c>
      <c r="F339" s="4">
        <v>43126</v>
      </c>
      <c r="G339" s="3"/>
      <c r="H339" s="3"/>
      <c r="I339" s="3" t="s">
        <v>7043</v>
      </c>
      <c r="J339" s="3"/>
      <c r="K339" s="3"/>
      <c r="L339" s="5"/>
    </row>
    <row r="340" spans="1:12" ht="57.6" x14ac:dyDescent="0.55000000000000004">
      <c r="A340" s="9" t="str">
        <f>HYPERLINK("PDF\FOIA-FWS-2020-00724-0000339.pdf","FOIA-FWS-2020-00724-0000339")</f>
        <v>FOIA-FWS-2020-00724-0000339</v>
      </c>
      <c r="B340" s="3" t="s">
        <v>702</v>
      </c>
      <c r="C340" s="3" t="s">
        <v>3</v>
      </c>
      <c r="D340" s="3" t="s">
        <v>4</v>
      </c>
      <c r="E340" s="3" t="s">
        <v>703</v>
      </c>
      <c r="F340" s="4">
        <v>43126</v>
      </c>
      <c r="G340" s="3"/>
      <c r="H340" s="3"/>
      <c r="I340" s="3" t="s">
        <v>7043</v>
      </c>
      <c r="J340" s="3"/>
      <c r="K340" s="3"/>
      <c r="L340" s="5"/>
    </row>
    <row r="341" spans="1:12" ht="57.6" x14ac:dyDescent="0.55000000000000004">
      <c r="A341" s="9" t="str">
        <f>HYPERLINK("PDF\FOIA-FWS-2020-00724-0000340.pdf","FOIA-FWS-2020-00724-0000340")</f>
        <v>FOIA-FWS-2020-00724-0000340</v>
      </c>
      <c r="B341" s="3" t="s">
        <v>704</v>
      </c>
      <c r="C341" s="3" t="s">
        <v>3</v>
      </c>
      <c r="D341" s="3" t="s">
        <v>4</v>
      </c>
      <c r="E341" s="3" t="s">
        <v>705</v>
      </c>
      <c r="F341" s="4">
        <v>43126</v>
      </c>
      <c r="G341" s="3"/>
      <c r="H341" s="3"/>
      <c r="I341" s="3" t="s">
        <v>7043</v>
      </c>
      <c r="J341" s="3"/>
      <c r="K341" s="3"/>
      <c r="L341" s="5"/>
    </row>
    <row r="342" spans="1:12" ht="43.2" x14ac:dyDescent="0.55000000000000004">
      <c r="A342" s="9" t="str">
        <f>HYPERLINK("PDF\FOIA-FWS-2020-00724-0000341.pdf","FOIA-FWS-2020-00724-0000341")</f>
        <v>FOIA-FWS-2020-00724-0000341</v>
      </c>
      <c r="B342" s="3" t="s">
        <v>706</v>
      </c>
      <c r="C342" s="3" t="s">
        <v>3</v>
      </c>
      <c r="D342" s="3" t="s">
        <v>160</v>
      </c>
      <c r="E342" s="3" t="s">
        <v>707</v>
      </c>
      <c r="F342" s="4">
        <v>43126</v>
      </c>
      <c r="G342" s="3"/>
      <c r="H342" s="3"/>
      <c r="I342" s="3" t="s">
        <v>7043</v>
      </c>
      <c r="J342" s="3"/>
      <c r="K342" s="3"/>
      <c r="L342" s="5"/>
    </row>
    <row r="343" spans="1:12" ht="86.4" x14ac:dyDescent="0.55000000000000004">
      <c r="A343" s="9" t="str">
        <f>HYPERLINK("PDF\FOIA-FWS-2020-00724-0000342.pdf","FOIA-FWS-2020-00724-0000342")</f>
        <v>FOIA-FWS-2020-00724-0000342</v>
      </c>
      <c r="B343" s="3" t="s">
        <v>708</v>
      </c>
      <c r="C343" s="3" t="s">
        <v>3</v>
      </c>
      <c r="D343" s="3" t="s">
        <v>33</v>
      </c>
      <c r="E343" s="3" t="s">
        <v>711</v>
      </c>
      <c r="F343" s="4">
        <v>43126.60833333333</v>
      </c>
      <c r="G343" s="3" t="s">
        <v>709</v>
      </c>
      <c r="H343" s="3" t="s">
        <v>710</v>
      </c>
      <c r="I343" s="3" t="s">
        <v>7043</v>
      </c>
      <c r="J343" s="3"/>
      <c r="K343" s="3"/>
      <c r="L343" s="5"/>
    </row>
    <row r="344" spans="1:12" ht="28.8" x14ac:dyDescent="0.55000000000000004">
      <c r="A344" s="9" t="str">
        <f>HYPERLINK("PDF\FOIA-FWS-2020-00724-0000343.pdf","FOIA-FWS-2020-00724-0000343")</f>
        <v>FOIA-FWS-2020-00724-0000343</v>
      </c>
      <c r="B344" s="3" t="s">
        <v>708</v>
      </c>
      <c r="C344" s="3" t="s">
        <v>234</v>
      </c>
      <c r="D344" s="3" t="s">
        <v>33</v>
      </c>
      <c r="E344" s="3" t="s">
        <v>712</v>
      </c>
      <c r="F344" s="4">
        <v>43126.60833333333</v>
      </c>
      <c r="G344" s="3"/>
      <c r="H344" s="3"/>
      <c r="I344" s="3" t="s">
        <v>7043</v>
      </c>
      <c r="J344" s="3"/>
      <c r="K344" s="3"/>
      <c r="L344" s="5"/>
    </row>
    <row r="345" spans="1:12" ht="28.8" x14ac:dyDescent="0.55000000000000004">
      <c r="A345" s="9" t="str">
        <f>HYPERLINK("PDF\FOIA-FWS-2020-00724-0000344.pdf","FOIA-FWS-2020-00724-0000344")</f>
        <v>FOIA-FWS-2020-00724-0000344</v>
      </c>
      <c r="B345" s="3" t="s">
        <v>708</v>
      </c>
      <c r="C345" s="3" t="s">
        <v>234</v>
      </c>
      <c r="D345" s="3" t="s">
        <v>33</v>
      </c>
      <c r="E345" s="3" t="s">
        <v>713</v>
      </c>
      <c r="F345" s="4">
        <v>43126.60833333333</v>
      </c>
      <c r="G345" s="3"/>
      <c r="H345" s="3"/>
      <c r="I345" s="3" t="s">
        <v>7043</v>
      </c>
      <c r="J345" s="3"/>
      <c r="K345" s="3"/>
      <c r="L345" s="5"/>
    </row>
    <row r="346" spans="1:12" ht="28.8" x14ac:dyDescent="0.55000000000000004">
      <c r="A346" s="9" t="str">
        <f>HYPERLINK("PDF\FOIA-FWS-2020-00724-0000345.pdf","FOIA-FWS-2020-00724-0000345")</f>
        <v>FOIA-FWS-2020-00724-0000345</v>
      </c>
      <c r="B346" s="3" t="s">
        <v>708</v>
      </c>
      <c r="C346" s="3" t="s">
        <v>234</v>
      </c>
      <c r="D346" s="3" t="s">
        <v>33</v>
      </c>
      <c r="E346" s="3" t="s">
        <v>714</v>
      </c>
      <c r="F346" s="4">
        <v>43126.60833333333</v>
      </c>
      <c r="G346" s="3"/>
      <c r="H346" s="3"/>
      <c r="I346" s="3" t="s">
        <v>7043</v>
      </c>
      <c r="J346" s="3"/>
      <c r="K346" s="3"/>
      <c r="L346" s="5"/>
    </row>
    <row r="347" spans="1:12" ht="28.8" x14ac:dyDescent="0.55000000000000004">
      <c r="A347" s="9" t="str">
        <f>HYPERLINK("PDF\FOIA-FWS-2020-00724-0000346.pdf","FOIA-FWS-2020-00724-0000346")</f>
        <v>FOIA-FWS-2020-00724-0000346</v>
      </c>
      <c r="B347" s="3" t="s">
        <v>708</v>
      </c>
      <c r="C347" s="3" t="s">
        <v>234</v>
      </c>
      <c r="D347" s="3" t="s">
        <v>33</v>
      </c>
      <c r="E347" s="3" t="s">
        <v>715</v>
      </c>
      <c r="F347" s="4">
        <v>43126.60833333333</v>
      </c>
      <c r="G347" s="3"/>
      <c r="H347" s="3"/>
      <c r="I347" s="3" t="s">
        <v>7043</v>
      </c>
      <c r="J347" s="3"/>
      <c r="K347" s="3"/>
      <c r="L347" s="5"/>
    </row>
    <row r="348" spans="1:12" ht="28.8" x14ac:dyDescent="0.55000000000000004">
      <c r="A348" s="9" t="str">
        <f>HYPERLINK("PDF\FOIA-FWS-2020-00724-0000347.pdf","FOIA-FWS-2020-00724-0000347")</f>
        <v>FOIA-FWS-2020-00724-0000347</v>
      </c>
      <c r="B348" s="3" t="s">
        <v>708</v>
      </c>
      <c r="C348" s="3" t="s">
        <v>234</v>
      </c>
      <c r="D348" s="3" t="s">
        <v>33</v>
      </c>
      <c r="E348" s="3" t="s">
        <v>716</v>
      </c>
      <c r="F348" s="4">
        <v>43126.60833333333</v>
      </c>
      <c r="G348" s="3"/>
      <c r="H348" s="3"/>
      <c r="I348" s="3" t="s">
        <v>7043</v>
      </c>
      <c r="J348" s="3"/>
      <c r="K348" s="3"/>
      <c r="L348" s="5"/>
    </row>
    <row r="349" spans="1:12" ht="28.8" x14ac:dyDescent="0.55000000000000004">
      <c r="A349" s="9" t="str">
        <f>HYPERLINK("PDF\FOIA-FWS-2020-00724-0000348.pdf","FOIA-FWS-2020-00724-0000348")</f>
        <v>FOIA-FWS-2020-00724-0000348</v>
      </c>
      <c r="B349" s="3" t="s">
        <v>708</v>
      </c>
      <c r="C349" s="3" t="s">
        <v>234</v>
      </c>
      <c r="D349" s="3" t="s">
        <v>33</v>
      </c>
      <c r="E349" s="3" t="s">
        <v>717</v>
      </c>
      <c r="F349" s="4">
        <v>43126.60833333333</v>
      </c>
      <c r="G349" s="3"/>
      <c r="H349" s="3"/>
      <c r="I349" s="3" t="s">
        <v>7043</v>
      </c>
      <c r="J349" s="3"/>
      <c r="K349" s="3"/>
      <c r="L349" s="5"/>
    </row>
    <row r="350" spans="1:12" ht="28.8" x14ac:dyDescent="0.55000000000000004">
      <c r="A350" s="9" t="str">
        <f>HYPERLINK("PDF\FOIA-FWS-2020-00724-0000349.pdf","FOIA-FWS-2020-00724-0000349")</f>
        <v>FOIA-FWS-2020-00724-0000349</v>
      </c>
      <c r="B350" s="3" t="s">
        <v>718</v>
      </c>
      <c r="C350" s="3" t="s">
        <v>3</v>
      </c>
      <c r="D350" s="3" t="s">
        <v>4</v>
      </c>
      <c r="E350" s="3" t="s">
        <v>719</v>
      </c>
      <c r="F350" s="4">
        <v>43132</v>
      </c>
      <c r="G350" s="3"/>
      <c r="H350" s="3"/>
      <c r="I350" s="3" t="s">
        <v>7043</v>
      </c>
      <c r="J350" s="3"/>
      <c r="K350" s="3"/>
      <c r="L350" s="5"/>
    </row>
    <row r="351" spans="1:12" ht="28.8" x14ac:dyDescent="0.55000000000000004">
      <c r="A351" s="9" t="str">
        <f>HYPERLINK("PDF\FOIA-FWS-2020-00724-0000350.pdf","FOIA-FWS-2020-00724-0000350")</f>
        <v>FOIA-FWS-2020-00724-0000350</v>
      </c>
      <c r="B351" s="3" t="s">
        <v>720</v>
      </c>
      <c r="C351" s="3" t="s">
        <v>3</v>
      </c>
      <c r="D351" s="3" t="s">
        <v>33</v>
      </c>
      <c r="E351" s="3" t="s">
        <v>721</v>
      </c>
      <c r="F351" s="4">
        <v>43156</v>
      </c>
      <c r="G351" s="3"/>
      <c r="H351" s="3"/>
      <c r="I351" s="3" t="s">
        <v>7043</v>
      </c>
      <c r="J351" s="3"/>
      <c r="K351" s="3"/>
      <c r="L351" s="5"/>
    </row>
    <row r="352" spans="1:12" ht="43.2" x14ac:dyDescent="0.55000000000000004">
      <c r="A352" s="9" t="str">
        <f>HYPERLINK("PDF\FOIA-FWS-2020-00724-0000351.pdf","FOIA-FWS-2020-00724-0000351")</f>
        <v>FOIA-FWS-2020-00724-0000351</v>
      </c>
      <c r="B352" s="3" t="s">
        <v>722</v>
      </c>
      <c r="C352" s="3" t="s">
        <v>3</v>
      </c>
      <c r="D352" s="3" t="s">
        <v>4</v>
      </c>
      <c r="E352" s="3" t="s">
        <v>723</v>
      </c>
      <c r="F352" s="4">
        <v>43158</v>
      </c>
      <c r="G352" s="3"/>
      <c r="H352" s="3"/>
      <c r="I352" s="3" t="s">
        <v>7043</v>
      </c>
      <c r="J352" s="3"/>
      <c r="K352" s="3"/>
      <c r="L352" s="5"/>
    </row>
    <row r="353" spans="1:12" ht="28.8" x14ac:dyDescent="0.55000000000000004">
      <c r="A353" s="9" t="str">
        <f>HYPERLINK("PDF\FOIA-FWS-2020-00724-0000352.pdf","FOIA-FWS-2020-00724-0000352")</f>
        <v>FOIA-FWS-2020-00724-0000352</v>
      </c>
      <c r="B353" s="3" t="s">
        <v>724</v>
      </c>
      <c r="C353" s="3" t="s">
        <v>3</v>
      </c>
      <c r="D353" s="3" t="s">
        <v>4</v>
      </c>
      <c r="E353" s="3" t="s">
        <v>725</v>
      </c>
      <c r="F353" s="4">
        <v>43160</v>
      </c>
      <c r="G353" s="3"/>
      <c r="H353" s="3"/>
      <c r="I353" s="3" t="s">
        <v>7043</v>
      </c>
      <c r="J353" s="3"/>
      <c r="K353" s="3"/>
      <c r="L353" s="5"/>
    </row>
    <row r="354" spans="1:12" ht="28.8" x14ac:dyDescent="0.55000000000000004">
      <c r="A354" s="9" t="str">
        <f>HYPERLINK("PDF\FOIA-FWS-2020-00724-0000353.pdf","FOIA-FWS-2020-00724-0000353")</f>
        <v>FOIA-FWS-2020-00724-0000353</v>
      </c>
      <c r="B354" s="3" t="s">
        <v>726</v>
      </c>
      <c r="C354" s="3" t="s">
        <v>3</v>
      </c>
      <c r="D354" s="3" t="s">
        <v>4</v>
      </c>
      <c r="E354" s="3" t="s">
        <v>727</v>
      </c>
      <c r="F354" s="4">
        <v>43165</v>
      </c>
      <c r="G354" s="3"/>
      <c r="H354" s="3"/>
      <c r="I354" s="3" t="s">
        <v>7043</v>
      </c>
      <c r="J354" s="3"/>
      <c r="K354" s="3"/>
      <c r="L354" s="5"/>
    </row>
    <row r="355" spans="1:12" ht="43.2" x14ac:dyDescent="0.55000000000000004">
      <c r="A355" s="9" t="str">
        <f>HYPERLINK("PDF\FOIA-FWS-2020-00724-0000354.pdf","FOIA-FWS-2020-00724-0000354")</f>
        <v>FOIA-FWS-2020-00724-0000354</v>
      </c>
      <c r="B355" s="3" t="s">
        <v>728</v>
      </c>
      <c r="C355" s="3" t="s">
        <v>3</v>
      </c>
      <c r="D355" s="3" t="s">
        <v>4</v>
      </c>
      <c r="E355" s="3" t="s">
        <v>729</v>
      </c>
      <c r="F355" s="4">
        <v>43167</v>
      </c>
      <c r="G355" s="3"/>
      <c r="H355" s="3"/>
      <c r="I355" s="3" t="s">
        <v>7043</v>
      </c>
      <c r="J355" s="3"/>
      <c r="K355" s="3"/>
      <c r="L355" s="5"/>
    </row>
    <row r="356" spans="1:12" ht="28.8" x14ac:dyDescent="0.55000000000000004">
      <c r="A356" s="9" t="str">
        <f>HYPERLINK("PDF\FOIA-FWS-2020-00724-0000355.pdf","FOIA-FWS-2020-00724-0000355")</f>
        <v>FOIA-FWS-2020-00724-0000355</v>
      </c>
      <c r="B356" s="3" t="s">
        <v>730</v>
      </c>
      <c r="C356" s="3" t="s">
        <v>3</v>
      </c>
      <c r="D356" s="3" t="s">
        <v>4</v>
      </c>
      <c r="E356" s="3" t="s">
        <v>731</v>
      </c>
      <c r="F356" s="4">
        <v>43167</v>
      </c>
      <c r="G356" s="3"/>
      <c r="H356" s="3"/>
      <c r="I356" s="3" t="s">
        <v>7043</v>
      </c>
      <c r="J356" s="3"/>
      <c r="K356" s="3"/>
      <c r="L356" s="5"/>
    </row>
    <row r="357" spans="1:12" ht="43.2" x14ac:dyDescent="0.55000000000000004">
      <c r="A357" s="9" t="str">
        <f>HYPERLINK("PDF\FOIA-FWS-2020-00724-0000356.pdf","FOIA-FWS-2020-00724-0000356")</f>
        <v>FOIA-FWS-2020-00724-0000356</v>
      </c>
      <c r="B357" s="3" t="s">
        <v>732</v>
      </c>
      <c r="C357" s="3" t="s">
        <v>3</v>
      </c>
      <c r="D357" s="3" t="s">
        <v>33</v>
      </c>
      <c r="E357" s="3" t="s">
        <v>735</v>
      </c>
      <c r="F357" s="4">
        <v>43167.618750000001</v>
      </c>
      <c r="G357" s="3" t="s">
        <v>733</v>
      </c>
      <c r="H357" s="3" t="s">
        <v>734</v>
      </c>
      <c r="I357" s="3" t="s">
        <v>7043</v>
      </c>
      <c r="J357" s="3"/>
      <c r="K357" s="3"/>
      <c r="L357" s="5"/>
    </row>
    <row r="358" spans="1:12" ht="28.8" x14ac:dyDescent="0.55000000000000004">
      <c r="A358" s="9" t="str">
        <f>HYPERLINK("PDF\FOIA-FWS-2020-00724-0000357.pdf","FOIA-FWS-2020-00724-0000357")</f>
        <v>FOIA-FWS-2020-00724-0000357</v>
      </c>
      <c r="B358" s="3" t="s">
        <v>732</v>
      </c>
      <c r="C358" s="3" t="s">
        <v>234</v>
      </c>
      <c r="D358" s="3" t="s">
        <v>33</v>
      </c>
      <c r="E358" s="3" t="s">
        <v>736</v>
      </c>
      <c r="F358" s="4">
        <v>43167.618750000001</v>
      </c>
      <c r="G358" s="3"/>
      <c r="H358" s="3"/>
      <c r="I358" s="3" t="s">
        <v>7043</v>
      </c>
      <c r="J358" s="3"/>
      <c r="K358" s="3"/>
      <c r="L358" s="5"/>
    </row>
    <row r="359" spans="1:12" ht="28.8" x14ac:dyDescent="0.55000000000000004">
      <c r="A359" s="9" t="str">
        <f>HYPERLINK("PDF\FOIA-FWS-2020-00724-0000358.pdf","FOIA-FWS-2020-00724-0000358")</f>
        <v>FOIA-FWS-2020-00724-0000358</v>
      </c>
      <c r="B359" s="3" t="s">
        <v>737</v>
      </c>
      <c r="C359" s="3" t="s">
        <v>3</v>
      </c>
      <c r="D359" s="3" t="s">
        <v>33</v>
      </c>
      <c r="E359" s="3" t="s">
        <v>738</v>
      </c>
      <c r="F359" s="4">
        <v>43167.743055555555</v>
      </c>
      <c r="G359" s="3" t="s">
        <v>7059</v>
      </c>
      <c r="H359" s="3" t="s">
        <v>709</v>
      </c>
      <c r="I359" s="3" t="s">
        <v>7043</v>
      </c>
      <c r="J359" s="3"/>
      <c r="K359" s="3"/>
      <c r="L359" s="5"/>
    </row>
    <row r="360" spans="1:12" ht="28.8" x14ac:dyDescent="0.55000000000000004">
      <c r="A360" s="9" t="str">
        <f>HYPERLINK("PDF\FOIA-FWS-2020-00724-0000359.pdf","FOIA-FWS-2020-00724-0000359")</f>
        <v>FOIA-FWS-2020-00724-0000359</v>
      </c>
      <c r="B360" s="3" t="s">
        <v>737</v>
      </c>
      <c r="C360" s="3" t="s">
        <v>234</v>
      </c>
      <c r="D360" s="3" t="s">
        <v>4</v>
      </c>
      <c r="E360" s="3" t="s">
        <v>739</v>
      </c>
      <c r="F360" s="4">
        <v>43167.743055555555</v>
      </c>
      <c r="G360" s="3"/>
      <c r="H360" s="3"/>
      <c r="I360" s="3" t="s">
        <v>7043</v>
      </c>
      <c r="J360" s="3"/>
      <c r="K360" s="3"/>
      <c r="L360" s="5"/>
    </row>
    <row r="361" spans="1:12" ht="129.6" x14ac:dyDescent="0.55000000000000004">
      <c r="A361" s="9" t="str">
        <f>HYPERLINK("PDF\FOIA-FWS-2020-00724-0000360.pdf","FOIA-FWS-2020-00724-0000360")</f>
        <v>FOIA-FWS-2020-00724-0000360</v>
      </c>
      <c r="B361" s="3" t="s">
        <v>740</v>
      </c>
      <c r="C361" s="3" t="s">
        <v>3</v>
      </c>
      <c r="D361" s="3" t="s">
        <v>33</v>
      </c>
      <c r="E361" s="3" t="s">
        <v>742</v>
      </c>
      <c r="F361" s="4">
        <v>43170.706944444442</v>
      </c>
      <c r="G361" s="3" t="s">
        <v>741</v>
      </c>
      <c r="H361" s="3" t="s">
        <v>7060</v>
      </c>
      <c r="I361" s="3" t="s">
        <v>7043</v>
      </c>
      <c r="J361" s="3"/>
      <c r="K361" s="3"/>
      <c r="L361" s="5"/>
    </row>
    <row r="362" spans="1:12" ht="28.8" x14ac:dyDescent="0.55000000000000004">
      <c r="A362" s="9" t="str">
        <f>HYPERLINK("PDF\FOIA-FWS-2020-00724-0000361.pdf","FOIA-FWS-2020-00724-0000361")</f>
        <v>FOIA-FWS-2020-00724-0000361</v>
      </c>
      <c r="B362" s="3" t="s">
        <v>740</v>
      </c>
      <c r="C362" s="3" t="s">
        <v>234</v>
      </c>
      <c r="D362" s="3" t="s">
        <v>33</v>
      </c>
      <c r="E362" s="3" t="s">
        <v>743</v>
      </c>
      <c r="F362" s="4">
        <v>43170.706944444442</v>
      </c>
      <c r="G362" s="3"/>
      <c r="H362" s="3"/>
      <c r="I362" s="3" t="s">
        <v>7043</v>
      </c>
      <c r="J362" s="3"/>
      <c r="K362" s="3"/>
      <c r="L362" s="5"/>
    </row>
    <row r="363" spans="1:12" ht="28.8" x14ac:dyDescent="0.55000000000000004">
      <c r="A363" s="9" t="str">
        <f>HYPERLINK("PDF\FOIA-FWS-2020-00724-0000362.pdf","FOIA-FWS-2020-00724-0000362")</f>
        <v>FOIA-FWS-2020-00724-0000362</v>
      </c>
      <c r="B363" s="3" t="s">
        <v>740</v>
      </c>
      <c r="C363" s="3" t="s">
        <v>234</v>
      </c>
      <c r="D363" s="3" t="s">
        <v>33</v>
      </c>
      <c r="E363" s="3" t="s">
        <v>744</v>
      </c>
      <c r="F363" s="4">
        <v>43170.706944444442</v>
      </c>
      <c r="G363" s="3"/>
      <c r="H363" s="3"/>
      <c r="I363" s="3" t="s">
        <v>7043</v>
      </c>
      <c r="J363" s="3"/>
      <c r="K363" s="3"/>
      <c r="L363" s="5"/>
    </row>
    <row r="364" spans="1:12" ht="28.8" x14ac:dyDescent="0.55000000000000004">
      <c r="A364" s="9" t="str">
        <f>HYPERLINK("PDF\FOIA-FWS-2020-00724-0000363.pdf","FOIA-FWS-2020-00724-0000363")</f>
        <v>FOIA-FWS-2020-00724-0000363</v>
      </c>
      <c r="B364" s="3" t="s">
        <v>745</v>
      </c>
      <c r="C364" s="3" t="s">
        <v>3</v>
      </c>
      <c r="D364" s="3" t="s">
        <v>4</v>
      </c>
      <c r="E364" s="3" t="s">
        <v>746</v>
      </c>
      <c r="F364" s="4">
        <v>43183</v>
      </c>
      <c r="G364" s="3"/>
      <c r="H364" s="3"/>
      <c r="I364" s="3" t="s">
        <v>7043</v>
      </c>
      <c r="J364" s="3"/>
      <c r="K364" s="3"/>
      <c r="L364" s="5"/>
    </row>
    <row r="365" spans="1:12" ht="43.2" x14ac:dyDescent="0.55000000000000004">
      <c r="A365" s="9" t="str">
        <f>HYPERLINK("PDF\FOIA-FWS-2020-00724-0000364.pdf","FOIA-FWS-2020-00724-0000364")</f>
        <v>FOIA-FWS-2020-00724-0000364</v>
      </c>
      <c r="B365" s="3" t="s">
        <v>747</v>
      </c>
      <c r="C365" s="3" t="s">
        <v>3</v>
      </c>
      <c r="D365" s="3" t="s">
        <v>4</v>
      </c>
      <c r="E365" s="3" t="s">
        <v>748</v>
      </c>
      <c r="F365" s="4">
        <v>43185</v>
      </c>
      <c r="G365" s="3"/>
      <c r="H365" s="3"/>
      <c r="I365" s="3" t="s">
        <v>7043</v>
      </c>
      <c r="J365" s="3"/>
      <c r="K365" s="3"/>
      <c r="L365" s="5"/>
    </row>
    <row r="366" spans="1:12" ht="28.8" x14ac:dyDescent="0.55000000000000004">
      <c r="A366" s="9" t="str">
        <f>HYPERLINK("PDF\FOIA-FWS-2020-00724-0000365.pdf","FOIA-FWS-2020-00724-0000365")</f>
        <v>FOIA-FWS-2020-00724-0000365</v>
      </c>
      <c r="B366" s="3" t="s">
        <v>749</v>
      </c>
      <c r="C366" s="3" t="s">
        <v>3</v>
      </c>
      <c r="D366" s="3" t="s">
        <v>33</v>
      </c>
      <c r="E366" s="3" t="s">
        <v>750</v>
      </c>
      <c r="F366" s="4">
        <v>43185</v>
      </c>
      <c r="G366" s="3"/>
      <c r="H366" s="3"/>
      <c r="I366" s="3" t="s">
        <v>7043</v>
      </c>
      <c r="J366" s="3"/>
      <c r="K366" s="3"/>
      <c r="L366" s="5"/>
    </row>
    <row r="367" spans="1:12" ht="144" x14ac:dyDescent="0.55000000000000004">
      <c r="A367" s="9" t="str">
        <f>HYPERLINK("PDF\FOIA-FWS-2020-00724-0000366.pdf","FOIA-FWS-2020-00724-0000366")</f>
        <v>FOIA-FWS-2020-00724-0000366</v>
      </c>
      <c r="B367" s="3" t="s">
        <v>751</v>
      </c>
      <c r="C367" s="3" t="s">
        <v>3</v>
      </c>
      <c r="D367" s="3" t="s">
        <v>33</v>
      </c>
      <c r="E367" s="3" t="s">
        <v>754</v>
      </c>
      <c r="F367" s="4">
        <v>43185.792361111111</v>
      </c>
      <c r="G367" s="3" t="s">
        <v>752</v>
      </c>
      <c r="H367" s="3" t="s">
        <v>753</v>
      </c>
      <c r="I367" s="3" t="s">
        <v>7043</v>
      </c>
      <c r="J367" s="3"/>
      <c r="K367" s="3"/>
      <c r="L367" s="5"/>
    </row>
    <row r="368" spans="1:12" ht="43.2" x14ac:dyDescent="0.55000000000000004">
      <c r="A368" s="9" t="str">
        <f>HYPERLINK("PDF\FOIA-FWS-2020-00724-0000367.pdf","FOIA-FWS-2020-00724-0000367")</f>
        <v>FOIA-FWS-2020-00724-0000367</v>
      </c>
      <c r="B368" s="3" t="s">
        <v>751</v>
      </c>
      <c r="C368" s="3" t="s">
        <v>234</v>
      </c>
      <c r="D368" s="3" t="s">
        <v>33</v>
      </c>
      <c r="E368" s="3" t="s">
        <v>755</v>
      </c>
      <c r="F368" s="4">
        <v>43185.792361111111</v>
      </c>
      <c r="G368" s="3"/>
      <c r="H368" s="3"/>
      <c r="I368" s="3" t="s">
        <v>7043</v>
      </c>
      <c r="J368" s="3"/>
      <c r="K368" s="3"/>
      <c r="L368" s="5"/>
    </row>
    <row r="369" spans="1:12" ht="28.8" x14ac:dyDescent="0.55000000000000004">
      <c r="A369" s="9" t="str">
        <f>HYPERLINK("PDF\FOIA-FWS-2020-00724-0000368.pdf","FOIA-FWS-2020-00724-0000368")</f>
        <v>FOIA-FWS-2020-00724-0000368</v>
      </c>
      <c r="B369" s="3" t="s">
        <v>751</v>
      </c>
      <c r="C369" s="3" t="s">
        <v>234</v>
      </c>
      <c r="D369" s="3" t="s">
        <v>4</v>
      </c>
      <c r="E369" s="3" t="s">
        <v>756</v>
      </c>
      <c r="F369" s="4">
        <v>43185.792361111111</v>
      </c>
      <c r="G369" s="3"/>
      <c r="H369" s="3"/>
      <c r="I369" s="3" t="s">
        <v>7043</v>
      </c>
      <c r="J369" s="3"/>
      <c r="K369" s="3"/>
      <c r="L369" s="5"/>
    </row>
    <row r="370" spans="1:12" ht="28.8" x14ac:dyDescent="0.55000000000000004">
      <c r="A370" s="9" t="str">
        <f>HYPERLINK("PDF\FOIA-FWS-2020-00724-0000369.pdf","FOIA-FWS-2020-00724-0000369")</f>
        <v>FOIA-FWS-2020-00724-0000369</v>
      </c>
      <c r="B370" s="3" t="s">
        <v>757</v>
      </c>
      <c r="C370" s="3" t="s">
        <v>3</v>
      </c>
      <c r="D370" s="3" t="s">
        <v>4</v>
      </c>
      <c r="E370" s="3" t="s">
        <v>758</v>
      </c>
      <c r="F370" s="4">
        <v>43191</v>
      </c>
      <c r="G370" s="3"/>
      <c r="H370" s="3"/>
      <c r="I370" s="3" t="s">
        <v>7043</v>
      </c>
      <c r="J370" s="3"/>
      <c r="K370" s="3"/>
      <c r="L370" s="5"/>
    </row>
    <row r="371" spans="1:12" ht="43.2" x14ac:dyDescent="0.55000000000000004">
      <c r="A371" s="9" t="str">
        <f>HYPERLINK("PDF\FOIA-FWS-2020-00724-0000370.pdf","FOIA-FWS-2020-00724-0000370")</f>
        <v>FOIA-FWS-2020-00724-0000370</v>
      </c>
      <c r="B371" s="3" t="s">
        <v>759</v>
      </c>
      <c r="C371" s="3" t="s">
        <v>3</v>
      </c>
      <c r="D371" s="3" t="s">
        <v>33</v>
      </c>
      <c r="E371" s="3" t="s">
        <v>760</v>
      </c>
      <c r="F371" s="4">
        <v>43203</v>
      </c>
      <c r="G371" s="3"/>
      <c r="H371" s="3"/>
      <c r="I371" s="3" t="s">
        <v>7043</v>
      </c>
      <c r="J371" s="3"/>
      <c r="K371" s="3"/>
      <c r="L371" s="5"/>
    </row>
    <row r="372" spans="1:12" ht="43.2" x14ac:dyDescent="0.55000000000000004">
      <c r="A372" s="9" t="str">
        <f>HYPERLINK("PDF\FOIA-FWS-2020-00724-0000371.pdf","FOIA-FWS-2020-00724-0000371")</f>
        <v>FOIA-FWS-2020-00724-0000371</v>
      </c>
      <c r="B372" s="3" t="s">
        <v>761</v>
      </c>
      <c r="C372" s="3" t="s">
        <v>3</v>
      </c>
      <c r="D372" s="3" t="s">
        <v>33</v>
      </c>
      <c r="E372" s="3" t="s">
        <v>762</v>
      </c>
      <c r="F372" s="4">
        <v>43203</v>
      </c>
      <c r="G372" s="3"/>
      <c r="H372" s="3"/>
      <c r="I372" s="3" t="s">
        <v>7043</v>
      </c>
      <c r="J372" s="3"/>
      <c r="K372" s="3"/>
      <c r="L372" s="5"/>
    </row>
    <row r="373" spans="1:12" ht="43.2" x14ac:dyDescent="0.55000000000000004">
      <c r="A373" s="9" t="str">
        <f>HYPERLINK("PDF\FOIA-FWS-2020-00724-0000372.pdf","FOIA-FWS-2020-00724-0000372")</f>
        <v>FOIA-FWS-2020-00724-0000372</v>
      </c>
      <c r="B373" s="3" t="s">
        <v>763</v>
      </c>
      <c r="C373" s="3" t="s">
        <v>3</v>
      </c>
      <c r="D373" s="3" t="s">
        <v>33</v>
      </c>
      <c r="E373" s="3" t="s">
        <v>764</v>
      </c>
      <c r="F373" s="4">
        <v>43203</v>
      </c>
      <c r="G373" s="3"/>
      <c r="H373" s="3"/>
      <c r="I373" s="3" t="s">
        <v>7043</v>
      </c>
      <c r="J373" s="3"/>
      <c r="K373" s="3"/>
      <c r="L373" s="5"/>
    </row>
    <row r="374" spans="1:12" ht="43.2" x14ac:dyDescent="0.55000000000000004">
      <c r="A374" s="9" t="str">
        <f>HYPERLINK("PDF\FOIA-FWS-2020-00724-0000373.pdf","FOIA-FWS-2020-00724-0000373")</f>
        <v>FOIA-FWS-2020-00724-0000373</v>
      </c>
      <c r="B374" s="3" t="s">
        <v>765</v>
      </c>
      <c r="C374" s="3" t="s">
        <v>3</v>
      </c>
      <c r="D374" s="3" t="s">
        <v>33</v>
      </c>
      <c r="E374" s="3" t="s">
        <v>766</v>
      </c>
      <c r="F374" s="4">
        <v>43203</v>
      </c>
      <c r="G374" s="3"/>
      <c r="H374" s="3"/>
      <c r="I374" s="3" t="s">
        <v>7043</v>
      </c>
      <c r="J374" s="3"/>
      <c r="K374" s="3"/>
      <c r="L374" s="5"/>
    </row>
    <row r="375" spans="1:12" ht="43.2" x14ac:dyDescent="0.55000000000000004">
      <c r="A375" s="9" t="str">
        <f>HYPERLINK("PDF\FOIA-FWS-2020-00724-0000374.pdf","FOIA-FWS-2020-00724-0000374")</f>
        <v>FOIA-FWS-2020-00724-0000374</v>
      </c>
      <c r="B375" s="3" t="s">
        <v>767</v>
      </c>
      <c r="C375" s="3" t="s">
        <v>3</v>
      </c>
      <c r="D375" s="3" t="s">
        <v>33</v>
      </c>
      <c r="E375" s="3" t="s">
        <v>768</v>
      </c>
      <c r="F375" s="4">
        <v>43203</v>
      </c>
      <c r="G375" s="3"/>
      <c r="H375" s="3"/>
      <c r="I375" s="3" t="s">
        <v>7043</v>
      </c>
      <c r="J375" s="3"/>
      <c r="K375" s="3"/>
      <c r="L375" s="5"/>
    </row>
    <row r="376" spans="1:12" ht="100.8" x14ac:dyDescent="0.55000000000000004">
      <c r="A376" s="9" t="str">
        <f>HYPERLINK("PDF\FOIA-FWS-2020-00724-0000375.pdf","FOIA-FWS-2020-00724-0000375")</f>
        <v>FOIA-FWS-2020-00724-0000375</v>
      </c>
      <c r="B376" s="3" t="s">
        <v>769</v>
      </c>
      <c r="C376" s="3" t="s">
        <v>3</v>
      </c>
      <c r="D376" s="3" t="s">
        <v>33</v>
      </c>
      <c r="E376" s="3" t="s">
        <v>771</v>
      </c>
      <c r="F376" s="4">
        <v>43209.520833333336</v>
      </c>
      <c r="G376" s="3" t="s">
        <v>592</v>
      </c>
      <c r="H376" s="3" t="s">
        <v>770</v>
      </c>
      <c r="I376" s="3" t="s">
        <v>7043</v>
      </c>
      <c r="J376" s="3"/>
      <c r="K376" s="3"/>
      <c r="L376" s="5"/>
    </row>
    <row r="377" spans="1:12" ht="28.8" x14ac:dyDescent="0.55000000000000004">
      <c r="A377" s="9" t="str">
        <f>HYPERLINK("PDF\FOIA-FWS-2020-00724-0000376.pdf","FOIA-FWS-2020-00724-0000376")</f>
        <v>FOIA-FWS-2020-00724-0000376</v>
      </c>
      <c r="B377" s="3" t="s">
        <v>769</v>
      </c>
      <c r="C377" s="3" t="s">
        <v>234</v>
      </c>
      <c r="D377" s="3" t="s">
        <v>4</v>
      </c>
      <c r="E377" s="3" t="s">
        <v>772</v>
      </c>
      <c r="F377" s="4">
        <v>43209.520833333336</v>
      </c>
      <c r="G377" s="3"/>
      <c r="H377" s="3"/>
      <c r="I377" s="3" t="s">
        <v>7043</v>
      </c>
      <c r="J377" s="3"/>
      <c r="K377" s="3"/>
      <c r="L377" s="5"/>
    </row>
    <row r="378" spans="1:12" ht="28.8" x14ac:dyDescent="0.55000000000000004">
      <c r="A378" s="9" t="str">
        <f>HYPERLINK("PDF\FOIA-FWS-2020-00724-0000377.pdf","FOIA-FWS-2020-00724-0000377")</f>
        <v>FOIA-FWS-2020-00724-0000377</v>
      </c>
      <c r="B378" s="3" t="s">
        <v>773</v>
      </c>
      <c r="C378" s="3" t="s">
        <v>3</v>
      </c>
      <c r="D378" s="3" t="s">
        <v>4</v>
      </c>
      <c r="E378" s="3" t="s">
        <v>774</v>
      </c>
      <c r="F378" s="4">
        <v>43212</v>
      </c>
      <c r="G378" s="3"/>
      <c r="H378" s="3"/>
      <c r="I378" s="3" t="s">
        <v>7043</v>
      </c>
      <c r="J378" s="3"/>
      <c r="K378" s="3"/>
      <c r="L378" s="5"/>
    </row>
    <row r="379" spans="1:12" ht="57.6" x14ac:dyDescent="0.55000000000000004">
      <c r="A379" s="9" t="str">
        <f>HYPERLINK("PDF\FOIA-FWS-2020-00724-0000378.pdf","FOIA-FWS-2020-00724-0000378")</f>
        <v>FOIA-FWS-2020-00724-0000378</v>
      </c>
      <c r="B379" s="3" t="s">
        <v>775</v>
      </c>
      <c r="C379" s="3" t="s">
        <v>3</v>
      </c>
      <c r="D379" s="3" t="s">
        <v>4</v>
      </c>
      <c r="E379" s="3" t="s">
        <v>776</v>
      </c>
      <c r="F379" s="4">
        <v>43214</v>
      </c>
      <c r="G379" s="3"/>
      <c r="H379" s="3"/>
      <c r="I379" s="3" t="s">
        <v>7043</v>
      </c>
      <c r="J379" s="3"/>
      <c r="K379" s="3"/>
      <c r="L379" s="5"/>
    </row>
    <row r="380" spans="1:12" ht="28.8" x14ac:dyDescent="0.55000000000000004">
      <c r="A380" s="9" t="str">
        <f>HYPERLINK("PDF\FOIA-FWS-2020-00724-0000379.pdf","FOIA-FWS-2020-00724-0000379")</f>
        <v>FOIA-FWS-2020-00724-0000379</v>
      </c>
      <c r="B380" s="3" t="s">
        <v>777</v>
      </c>
      <c r="C380" s="3" t="s">
        <v>3</v>
      </c>
      <c r="D380" s="3" t="s">
        <v>33</v>
      </c>
      <c r="E380" s="3" t="s">
        <v>778</v>
      </c>
      <c r="F380" s="4">
        <v>43214.67083333333</v>
      </c>
      <c r="G380" s="3" t="s">
        <v>591</v>
      </c>
      <c r="H380" s="3" t="s">
        <v>592</v>
      </c>
      <c r="I380" s="3" t="s">
        <v>7043</v>
      </c>
      <c r="J380" s="3"/>
      <c r="K380" s="3"/>
      <c r="L380" s="5"/>
    </row>
    <row r="381" spans="1:12" ht="28.8" x14ac:dyDescent="0.55000000000000004">
      <c r="A381" s="9" t="str">
        <f>HYPERLINK("PDF\FOIA-FWS-2020-00724-0000380.pdf","FOIA-FWS-2020-00724-0000380")</f>
        <v>FOIA-FWS-2020-00724-0000380</v>
      </c>
      <c r="B381" s="3" t="s">
        <v>777</v>
      </c>
      <c r="C381" s="3" t="s">
        <v>234</v>
      </c>
      <c r="D381" s="3" t="s">
        <v>4</v>
      </c>
      <c r="E381" s="3" t="s">
        <v>779</v>
      </c>
      <c r="F381" s="4">
        <v>43214.67083333333</v>
      </c>
      <c r="G381" s="3"/>
      <c r="H381" s="3"/>
      <c r="I381" s="3" t="s">
        <v>7043</v>
      </c>
      <c r="J381" s="3"/>
      <c r="K381" s="3"/>
      <c r="L381" s="5"/>
    </row>
    <row r="382" spans="1:12" ht="28.8" x14ac:dyDescent="0.55000000000000004">
      <c r="A382" s="9" t="str">
        <f>HYPERLINK("PDF\FOIA-FWS-2020-00724-0000381.pdf","FOIA-FWS-2020-00724-0000381")</f>
        <v>FOIA-FWS-2020-00724-0000381</v>
      </c>
      <c r="B382" s="3" t="s">
        <v>780</v>
      </c>
      <c r="C382" s="3" t="s">
        <v>3</v>
      </c>
      <c r="D382" s="3" t="s">
        <v>4</v>
      </c>
      <c r="E382" s="3" t="s">
        <v>781</v>
      </c>
      <c r="F382" s="4">
        <v>43220</v>
      </c>
      <c r="G382" s="3"/>
      <c r="H382" s="3"/>
      <c r="I382" s="3" t="s">
        <v>7043</v>
      </c>
      <c r="J382" s="3"/>
      <c r="K382" s="3"/>
      <c r="L382" s="5"/>
    </row>
    <row r="383" spans="1:12" ht="28.8" x14ac:dyDescent="0.55000000000000004">
      <c r="A383" s="9" t="str">
        <f>HYPERLINK("PDF\FOIA-FWS-2020-00724-0000382.pdf","FOIA-FWS-2020-00724-0000382")</f>
        <v>FOIA-FWS-2020-00724-0000382</v>
      </c>
      <c r="B383" s="3" t="s">
        <v>782</v>
      </c>
      <c r="C383" s="3" t="s">
        <v>3</v>
      </c>
      <c r="D383" s="3" t="s">
        <v>33</v>
      </c>
      <c r="E383" s="3" t="s">
        <v>783</v>
      </c>
      <c r="F383" s="4">
        <v>43236</v>
      </c>
      <c r="G383" s="3"/>
      <c r="H383" s="3"/>
      <c r="I383" s="3" t="s">
        <v>7043</v>
      </c>
      <c r="J383" s="3"/>
      <c r="K383" s="3"/>
      <c r="L383" s="5"/>
    </row>
    <row r="384" spans="1:12" ht="28.8" x14ac:dyDescent="0.55000000000000004">
      <c r="A384" s="9" t="str">
        <f>HYPERLINK("PDF\FOIA-FWS-2020-00724-0000383.pdf","FOIA-FWS-2020-00724-0000383")</f>
        <v>FOIA-FWS-2020-00724-0000383</v>
      </c>
      <c r="B384" s="3" t="s">
        <v>784</v>
      </c>
      <c r="C384" s="3" t="s">
        <v>3</v>
      </c>
      <c r="D384" s="3" t="s">
        <v>33</v>
      </c>
      <c r="E384" s="3" t="s">
        <v>786</v>
      </c>
      <c r="F384" s="4">
        <v>43236.848611111112</v>
      </c>
      <c r="G384" s="3" t="s">
        <v>675</v>
      </c>
      <c r="H384" s="3" t="s">
        <v>785</v>
      </c>
      <c r="I384" s="3" t="s">
        <v>7043</v>
      </c>
      <c r="J384" s="3"/>
      <c r="K384" s="3"/>
      <c r="L384" s="5"/>
    </row>
    <row r="385" spans="1:12" ht="28.8" x14ac:dyDescent="0.55000000000000004">
      <c r="A385" s="9" t="str">
        <f>HYPERLINK("PDF\FOIA-FWS-2020-00724-0000384.pdf","FOIA-FWS-2020-00724-0000384")</f>
        <v>FOIA-FWS-2020-00724-0000384</v>
      </c>
      <c r="B385" s="3" t="s">
        <v>784</v>
      </c>
      <c r="C385" s="3" t="s">
        <v>234</v>
      </c>
      <c r="D385" s="3" t="s">
        <v>33</v>
      </c>
      <c r="E385" s="3" t="s">
        <v>787</v>
      </c>
      <c r="F385" s="4">
        <v>43236.848611111112</v>
      </c>
      <c r="G385" s="3"/>
      <c r="H385" s="3"/>
      <c r="I385" s="3" t="s">
        <v>7043</v>
      </c>
      <c r="J385" s="3"/>
      <c r="K385" s="3"/>
      <c r="L385" s="5"/>
    </row>
    <row r="386" spans="1:12" ht="43.2" x14ac:dyDescent="0.55000000000000004">
      <c r="A386" s="9" t="str">
        <f>HYPERLINK("PDF\FOIA-FWS-2020-00724-0000385.pdf","FOIA-FWS-2020-00724-0000385")</f>
        <v>FOIA-FWS-2020-00724-0000385</v>
      </c>
      <c r="B386" s="3" t="s">
        <v>788</v>
      </c>
      <c r="C386" s="3" t="s">
        <v>3</v>
      </c>
      <c r="D386" s="3" t="s">
        <v>33</v>
      </c>
      <c r="E386" s="3" t="s">
        <v>789</v>
      </c>
      <c r="F386" s="4">
        <v>43245</v>
      </c>
      <c r="G386" s="3"/>
      <c r="H386" s="3"/>
      <c r="I386" s="3" t="s">
        <v>7043</v>
      </c>
      <c r="J386" s="3"/>
      <c r="K386" s="3"/>
      <c r="L386" s="5"/>
    </row>
    <row r="387" spans="1:12" ht="28.8" x14ac:dyDescent="0.55000000000000004">
      <c r="A387" s="9" t="str">
        <f>HYPERLINK("PDF\FOIA-FWS-2020-00724-0000386.pdf","FOIA-FWS-2020-00724-0000386")</f>
        <v>FOIA-FWS-2020-00724-0000386</v>
      </c>
      <c r="B387" s="3" t="s">
        <v>790</v>
      </c>
      <c r="C387" s="3" t="s">
        <v>3</v>
      </c>
      <c r="D387" s="3" t="s">
        <v>38</v>
      </c>
      <c r="E387" s="3" t="s">
        <v>791</v>
      </c>
      <c r="F387" s="4">
        <v>43252</v>
      </c>
      <c r="G387" s="3"/>
      <c r="H387" s="3"/>
      <c r="I387" s="3" t="s">
        <v>7043</v>
      </c>
      <c r="J387" s="3"/>
      <c r="K387" s="3"/>
      <c r="L387" s="5"/>
    </row>
    <row r="388" spans="1:12" ht="28.8" x14ac:dyDescent="0.55000000000000004">
      <c r="A388" s="9" t="str">
        <f>HYPERLINK("PDF\FOIA-FWS-2020-00724-0000387.pdf","FOIA-FWS-2020-00724-0000387")</f>
        <v>FOIA-FWS-2020-00724-0000387</v>
      </c>
      <c r="B388" s="3" t="s">
        <v>792</v>
      </c>
      <c r="C388" s="3" t="s">
        <v>3</v>
      </c>
      <c r="D388" s="3" t="s">
        <v>4</v>
      </c>
      <c r="E388" s="3" t="s">
        <v>793</v>
      </c>
      <c r="F388" s="4">
        <v>43252</v>
      </c>
      <c r="G388" s="3"/>
      <c r="H388" s="3"/>
      <c r="I388" s="3" t="s">
        <v>7043</v>
      </c>
      <c r="J388" s="3"/>
      <c r="K388" s="3"/>
      <c r="L388" s="5"/>
    </row>
    <row r="389" spans="1:12" ht="28.8" x14ac:dyDescent="0.55000000000000004">
      <c r="A389" s="9" t="str">
        <f>HYPERLINK("PDF\FOIA-FWS-2020-00724-0000388.pdf","FOIA-FWS-2020-00724-0000388")</f>
        <v>FOIA-FWS-2020-00724-0000388</v>
      </c>
      <c r="B389" s="3" t="s">
        <v>794</v>
      </c>
      <c r="C389" s="3" t="s">
        <v>3</v>
      </c>
      <c r="D389" s="3" t="s">
        <v>4</v>
      </c>
      <c r="E389" s="3" t="s">
        <v>795</v>
      </c>
      <c r="F389" s="4">
        <v>43252</v>
      </c>
      <c r="G389" s="3"/>
      <c r="H389" s="3"/>
      <c r="I389" s="3" t="s">
        <v>7043</v>
      </c>
      <c r="J389" s="3"/>
      <c r="K389" s="3"/>
      <c r="L389" s="5"/>
    </row>
    <row r="390" spans="1:12" ht="28.8" x14ac:dyDescent="0.55000000000000004">
      <c r="A390" s="9" t="str">
        <f>HYPERLINK("PDF\FOIA-FWS-2020-00724-0000389.pdf","FOIA-FWS-2020-00724-0000389")</f>
        <v>FOIA-FWS-2020-00724-0000389</v>
      </c>
      <c r="B390" s="3" t="s">
        <v>796</v>
      </c>
      <c r="C390" s="3" t="s">
        <v>3</v>
      </c>
      <c r="D390" s="3" t="s">
        <v>38</v>
      </c>
      <c r="E390" s="3" t="s">
        <v>797</v>
      </c>
      <c r="F390" s="4">
        <v>43252</v>
      </c>
      <c r="G390" s="3"/>
      <c r="H390" s="3"/>
      <c r="I390" s="3" t="s">
        <v>7043</v>
      </c>
      <c r="J390" s="3"/>
      <c r="K390" s="3"/>
      <c r="L390" s="5"/>
    </row>
    <row r="391" spans="1:12" ht="28.8" x14ac:dyDescent="0.55000000000000004">
      <c r="A391" s="9" t="str">
        <f>HYPERLINK("PDF\FOIA-FWS-2020-00724-0000390.pdf","FOIA-FWS-2020-00724-0000390")</f>
        <v>FOIA-FWS-2020-00724-0000390</v>
      </c>
      <c r="B391" s="3" t="s">
        <v>798</v>
      </c>
      <c r="C391" s="3" t="s">
        <v>3</v>
      </c>
      <c r="D391" s="3" t="s">
        <v>4</v>
      </c>
      <c r="E391" s="3" t="s">
        <v>799</v>
      </c>
      <c r="F391" s="4">
        <v>43252</v>
      </c>
      <c r="G391" s="3"/>
      <c r="H391" s="3"/>
      <c r="I391" s="3" t="s">
        <v>7043</v>
      </c>
      <c r="J391" s="3"/>
      <c r="K391" s="3"/>
      <c r="L391" s="5"/>
    </row>
    <row r="392" spans="1:12" ht="28.8" x14ac:dyDescent="0.55000000000000004">
      <c r="A392" s="9" t="str">
        <f>HYPERLINK("PDF\FOIA-FWS-2020-00724-0000391.pdf","FOIA-FWS-2020-00724-0000391")</f>
        <v>FOIA-FWS-2020-00724-0000391</v>
      </c>
      <c r="B392" s="3" t="s">
        <v>800</v>
      </c>
      <c r="C392" s="3" t="s">
        <v>3</v>
      </c>
      <c r="D392" s="3" t="s">
        <v>4</v>
      </c>
      <c r="E392" s="3" t="s">
        <v>801</v>
      </c>
      <c r="F392" s="4">
        <v>43252</v>
      </c>
      <c r="G392" s="3"/>
      <c r="H392" s="3"/>
      <c r="I392" s="3" t="s">
        <v>7043</v>
      </c>
      <c r="J392" s="3"/>
      <c r="K392" s="3"/>
      <c r="L392" s="5"/>
    </row>
    <row r="393" spans="1:12" ht="28.8" x14ac:dyDescent="0.55000000000000004">
      <c r="A393" s="9" t="str">
        <f>HYPERLINK("PDF\FOIA-FWS-2020-00724-0000392.pdf","FOIA-FWS-2020-00724-0000392")</f>
        <v>FOIA-FWS-2020-00724-0000392</v>
      </c>
      <c r="B393" s="3" t="s">
        <v>802</v>
      </c>
      <c r="C393" s="3" t="s">
        <v>3</v>
      </c>
      <c r="D393" s="3" t="s">
        <v>4</v>
      </c>
      <c r="E393" s="3" t="s">
        <v>803</v>
      </c>
      <c r="F393" s="4">
        <v>43252</v>
      </c>
      <c r="G393" s="3"/>
      <c r="H393" s="3"/>
      <c r="I393" s="3" t="s">
        <v>7043</v>
      </c>
      <c r="J393" s="3"/>
      <c r="K393" s="3"/>
      <c r="L393" s="5"/>
    </row>
    <row r="394" spans="1:12" ht="28.8" x14ac:dyDescent="0.55000000000000004">
      <c r="A394" s="9" t="str">
        <f>HYPERLINK("PDF\FOIA-FWS-2020-00724-0000393.pdf","FOIA-FWS-2020-00724-0000393")</f>
        <v>FOIA-FWS-2020-00724-0000393</v>
      </c>
      <c r="B394" s="3" t="s">
        <v>804</v>
      </c>
      <c r="C394" s="3" t="s">
        <v>3</v>
      </c>
      <c r="D394" s="3" t="s">
        <v>4</v>
      </c>
      <c r="E394" s="3" t="s">
        <v>805</v>
      </c>
      <c r="F394" s="4">
        <v>43252</v>
      </c>
      <c r="G394" s="3"/>
      <c r="H394" s="3"/>
      <c r="I394" s="3" t="s">
        <v>7043</v>
      </c>
      <c r="J394" s="3"/>
      <c r="K394" s="3"/>
      <c r="L394" s="5"/>
    </row>
    <row r="395" spans="1:12" ht="28.8" x14ac:dyDescent="0.55000000000000004">
      <c r="A395" s="9" t="str">
        <f>HYPERLINK("PDF\FOIA-FWS-2020-00724-0000394.pdf","FOIA-FWS-2020-00724-0000394")</f>
        <v>FOIA-FWS-2020-00724-0000394</v>
      </c>
      <c r="B395" s="3" t="s">
        <v>806</v>
      </c>
      <c r="C395" s="3" t="s">
        <v>3</v>
      </c>
      <c r="D395" s="3" t="s">
        <v>4</v>
      </c>
      <c r="E395" s="3" t="s">
        <v>807</v>
      </c>
      <c r="F395" s="4">
        <v>43252</v>
      </c>
      <c r="G395" s="3"/>
      <c r="H395" s="3"/>
      <c r="I395" s="3" t="s">
        <v>7043</v>
      </c>
      <c r="J395" s="3"/>
      <c r="K395" s="3"/>
      <c r="L395" s="5"/>
    </row>
    <row r="396" spans="1:12" ht="43.2" x14ac:dyDescent="0.55000000000000004">
      <c r="A396" s="9" t="str">
        <f>HYPERLINK("PDF\FOIA-FWS-2020-00724-0000395.pdf","FOIA-FWS-2020-00724-0000395")</f>
        <v>FOIA-FWS-2020-00724-0000395</v>
      </c>
      <c r="B396" s="3" t="s">
        <v>808</v>
      </c>
      <c r="C396" s="3" t="s">
        <v>3</v>
      </c>
      <c r="D396" s="3" t="s">
        <v>4</v>
      </c>
      <c r="E396" s="3" t="s">
        <v>809</v>
      </c>
      <c r="F396" s="4">
        <v>43265</v>
      </c>
      <c r="G396" s="3"/>
      <c r="H396" s="3"/>
      <c r="I396" s="3" t="s">
        <v>7043</v>
      </c>
      <c r="J396" s="3"/>
      <c r="K396" s="3"/>
      <c r="L396" s="5"/>
    </row>
    <row r="397" spans="1:12" ht="28.8" x14ac:dyDescent="0.55000000000000004">
      <c r="A397" s="9" t="str">
        <f>HYPERLINK("PDF\FOIA-FWS-2020-00724-0000396.pdf","FOIA-FWS-2020-00724-0000396")</f>
        <v>FOIA-FWS-2020-00724-0000396</v>
      </c>
      <c r="B397" s="3" t="s">
        <v>810</v>
      </c>
      <c r="C397" s="3" t="s">
        <v>3</v>
      </c>
      <c r="D397" s="3" t="s">
        <v>33</v>
      </c>
      <c r="E397" s="3" t="s">
        <v>811</v>
      </c>
      <c r="F397" s="4">
        <v>43269</v>
      </c>
      <c r="G397" s="3"/>
      <c r="H397" s="3"/>
      <c r="I397" s="3" t="s">
        <v>7043</v>
      </c>
      <c r="J397" s="3"/>
      <c r="K397" s="3"/>
      <c r="L397" s="5"/>
    </row>
    <row r="398" spans="1:12" ht="28.8" x14ac:dyDescent="0.55000000000000004">
      <c r="A398" s="9" t="str">
        <f>HYPERLINK("PDF\FOIA-FWS-2020-00724-0000397.pdf","FOIA-FWS-2020-00724-0000397")</f>
        <v>FOIA-FWS-2020-00724-0000397</v>
      </c>
      <c r="B398" s="3" t="s">
        <v>812</v>
      </c>
      <c r="C398" s="3" t="s">
        <v>3</v>
      </c>
      <c r="D398" s="3" t="s">
        <v>33</v>
      </c>
      <c r="E398" s="3" t="s">
        <v>815</v>
      </c>
      <c r="F398" s="4">
        <v>43270.811805555553</v>
      </c>
      <c r="G398" s="3" t="s">
        <v>813</v>
      </c>
      <c r="H398" s="3" t="s">
        <v>814</v>
      </c>
      <c r="I398" s="3" t="s">
        <v>7043</v>
      </c>
      <c r="J398" s="3"/>
      <c r="K398" s="3"/>
      <c r="L398" s="5"/>
    </row>
    <row r="399" spans="1:12" ht="28.8" x14ac:dyDescent="0.55000000000000004">
      <c r="A399" s="9" t="str">
        <f>HYPERLINK("PDF\FOIA-FWS-2020-00724-0000398.pdf","FOIA-FWS-2020-00724-0000398")</f>
        <v>FOIA-FWS-2020-00724-0000398</v>
      </c>
      <c r="B399" s="3" t="s">
        <v>812</v>
      </c>
      <c r="C399" s="3" t="s">
        <v>234</v>
      </c>
      <c r="D399" s="3" t="s">
        <v>33</v>
      </c>
      <c r="E399" s="3" t="s">
        <v>816</v>
      </c>
      <c r="F399" s="4">
        <v>43270.811805555553</v>
      </c>
      <c r="G399" s="3"/>
      <c r="H399" s="3"/>
      <c r="I399" s="3" t="s">
        <v>7043</v>
      </c>
      <c r="J399" s="3"/>
      <c r="K399" s="3"/>
      <c r="L399" s="5"/>
    </row>
    <row r="400" spans="1:12" ht="28.8" x14ac:dyDescent="0.55000000000000004">
      <c r="A400" s="9" t="str">
        <f>HYPERLINK("PDF\FOIA-FWS-2020-00724-0000399.pdf","FOIA-FWS-2020-00724-0000399")</f>
        <v>FOIA-FWS-2020-00724-0000399</v>
      </c>
      <c r="B400" s="3" t="s">
        <v>817</v>
      </c>
      <c r="C400" s="3" t="s">
        <v>3</v>
      </c>
      <c r="D400" s="3" t="s">
        <v>4</v>
      </c>
      <c r="E400" s="3" t="s">
        <v>818</v>
      </c>
      <c r="F400" s="4">
        <v>43282</v>
      </c>
      <c r="G400" s="3"/>
      <c r="H400" s="3"/>
      <c r="I400" s="3" t="s">
        <v>7043</v>
      </c>
      <c r="J400" s="3"/>
      <c r="K400" s="3"/>
      <c r="L400" s="5"/>
    </row>
    <row r="401" spans="1:12" ht="28.8" x14ac:dyDescent="0.55000000000000004">
      <c r="A401" s="9" t="str">
        <f>HYPERLINK("PDF\FOIA-FWS-2020-00724-0000400.pdf","FOIA-FWS-2020-00724-0000400")</f>
        <v>FOIA-FWS-2020-00724-0000400</v>
      </c>
      <c r="B401" s="3" t="s">
        <v>819</v>
      </c>
      <c r="C401" s="3" t="s">
        <v>3</v>
      </c>
      <c r="D401" s="3" t="s">
        <v>38</v>
      </c>
      <c r="E401" s="3" t="s">
        <v>820</v>
      </c>
      <c r="F401" s="4">
        <v>43282</v>
      </c>
      <c r="G401" s="3"/>
      <c r="H401" s="3"/>
      <c r="I401" s="3" t="s">
        <v>7043</v>
      </c>
      <c r="J401" s="3"/>
      <c r="K401" s="3"/>
      <c r="L401" s="5"/>
    </row>
    <row r="402" spans="1:12" ht="28.8" x14ac:dyDescent="0.55000000000000004">
      <c r="A402" s="9" t="str">
        <f>HYPERLINK("PDF\FOIA-FWS-2020-00724-0000401.pdf","FOIA-FWS-2020-00724-0000401")</f>
        <v>FOIA-FWS-2020-00724-0000401</v>
      </c>
      <c r="B402" s="3" t="s">
        <v>821</v>
      </c>
      <c r="C402" s="3" t="s">
        <v>3</v>
      </c>
      <c r="D402" s="3" t="s">
        <v>4</v>
      </c>
      <c r="E402" s="3" t="s">
        <v>822</v>
      </c>
      <c r="F402" s="4">
        <v>43282</v>
      </c>
      <c r="G402" s="3"/>
      <c r="H402" s="3"/>
      <c r="I402" s="3" t="s">
        <v>7043</v>
      </c>
      <c r="J402" s="3"/>
      <c r="K402" s="3"/>
      <c r="L402" s="5"/>
    </row>
    <row r="403" spans="1:12" ht="28.8" x14ac:dyDescent="0.55000000000000004">
      <c r="A403" s="9" t="str">
        <f>HYPERLINK("PDF\FOIA-FWS-2020-00724-0000402.pdf","FOIA-FWS-2020-00724-0000402")</f>
        <v>FOIA-FWS-2020-00724-0000402</v>
      </c>
      <c r="B403" s="3" t="s">
        <v>823</v>
      </c>
      <c r="C403" s="3" t="s">
        <v>3</v>
      </c>
      <c r="D403" s="3" t="s">
        <v>38</v>
      </c>
      <c r="E403" s="3" t="s">
        <v>824</v>
      </c>
      <c r="F403" s="4">
        <v>43284</v>
      </c>
      <c r="G403" s="3"/>
      <c r="H403" s="3"/>
      <c r="I403" s="3" t="s">
        <v>7043</v>
      </c>
      <c r="J403" s="3"/>
      <c r="K403" s="3"/>
      <c r="L403" s="5"/>
    </row>
    <row r="404" spans="1:12" ht="43.2" x14ac:dyDescent="0.55000000000000004">
      <c r="A404" s="9" t="str">
        <f>HYPERLINK("PDF\FOIA-FWS-2020-00724-0000403.pdf","FOIA-FWS-2020-00724-0000403")</f>
        <v>FOIA-FWS-2020-00724-0000403</v>
      </c>
      <c r="B404" s="3" t="s">
        <v>825</v>
      </c>
      <c r="C404" s="3" t="s">
        <v>3</v>
      </c>
      <c r="D404" s="3" t="s">
        <v>4</v>
      </c>
      <c r="E404" s="3" t="s">
        <v>826</v>
      </c>
      <c r="F404" s="4">
        <v>43313</v>
      </c>
      <c r="G404" s="3"/>
      <c r="H404" s="3"/>
      <c r="I404" s="3" t="s">
        <v>7043</v>
      </c>
      <c r="J404" s="3"/>
      <c r="K404" s="3"/>
      <c r="L404" s="5"/>
    </row>
    <row r="405" spans="1:12" ht="28.8" x14ac:dyDescent="0.55000000000000004">
      <c r="A405" s="9" t="str">
        <f>HYPERLINK("PDF\FOIA-FWS-2020-00724-0000404.pdf","FOIA-FWS-2020-00724-0000404")</f>
        <v>FOIA-FWS-2020-00724-0000404</v>
      </c>
      <c r="B405" s="3" t="s">
        <v>827</v>
      </c>
      <c r="C405" s="3" t="s">
        <v>3</v>
      </c>
      <c r="D405" s="3" t="s">
        <v>4</v>
      </c>
      <c r="E405" s="3" t="s">
        <v>828</v>
      </c>
      <c r="F405" s="4">
        <v>43313</v>
      </c>
      <c r="G405" s="3"/>
      <c r="H405" s="3"/>
      <c r="I405" s="3" t="s">
        <v>7043</v>
      </c>
      <c r="J405" s="3"/>
      <c r="K405" s="3"/>
      <c r="L405" s="5"/>
    </row>
    <row r="406" spans="1:12" ht="28.8" x14ac:dyDescent="0.55000000000000004">
      <c r="A406" s="9" t="str">
        <f>HYPERLINK("PDF\FOIA-FWS-2020-00724-0000405.pdf","FOIA-FWS-2020-00724-0000405")</f>
        <v>FOIA-FWS-2020-00724-0000405</v>
      </c>
      <c r="B406" s="3" t="s">
        <v>829</v>
      </c>
      <c r="C406" s="3" t="s">
        <v>3</v>
      </c>
      <c r="D406" s="3" t="s">
        <v>4</v>
      </c>
      <c r="E406" s="3" t="s">
        <v>830</v>
      </c>
      <c r="F406" s="4">
        <v>43336</v>
      </c>
      <c r="G406" s="3"/>
      <c r="H406" s="3"/>
      <c r="I406" s="3" t="s">
        <v>7043</v>
      </c>
      <c r="J406" s="3"/>
      <c r="K406" s="3"/>
      <c r="L406" s="5"/>
    </row>
    <row r="407" spans="1:12" ht="28.8" x14ac:dyDescent="0.55000000000000004">
      <c r="A407" s="9" t="str">
        <f>HYPERLINK("PDF\FOIA-FWS-2020-00724-0000406.pdf","FOIA-FWS-2020-00724-0000406")</f>
        <v>FOIA-FWS-2020-00724-0000406</v>
      </c>
      <c r="B407" s="3" t="s">
        <v>831</v>
      </c>
      <c r="C407" s="3" t="s">
        <v>3</v>
      </c>
      <c r="D407" s="3" t="s">
        <v>4</v>
      </c>
      <c r="E407" s="3" t="s">
        <v>832</v>
      </c>
      <c r="F407" s="4">
        <v>43343</v>
      </c>
      <c r="G407" s="3"/>
      <c r="H407" s="3"/>
      <c r="I407" s="3" t="s">
        <v>7043</v>
      </c>
      <c r="J407" s="3"/>
      <c r="K407" s="3"/>
      <c r="L407" s="5"/>
    </row>
    <row r="408" spans="1:12" ht="28.8" x14ac:dyDescent="0.55000000000000004">
      <c r="A408" s="9" t="str">
        <f>HYPERLINK("PDF\FOIA-FWS-2020-00724-0000407.pdf","FOIA-FWS-2020-00724-0000407")</f>
        <v>FOIA-FWS-2020-00724-0000407</v>
      </c>
      <c r="B408" s="3" t="s">
        <v>833</v>
      </c>
      <c r="C408" s="3" t="s">
        <v>3</v>
      </c>
      <c r="D408" s="3" t="s">
        <v>33</v>
      </c>
      <c r="E408" s="3" t="s">
        <v>834</v>
      </c>
      <c r="F408" s="4">
        <v>43343.835416666669</v>
      </c>
      <c r="G408" s="3" t="s">
        <v>675</v>
      </c>
      <c r="H408" s="3" t="s">
        <v>709</v>
      </c>
      <c r="I408" s="3" t="s">
        <v>7043</v>
      </c>
      <c r="J408" s="3"/>
      <c r="K408" s="3"/>
      <c r="L408" s="5"/>
    </row>
    <row r="409" spans="1:12" ht="28.8" x14ac:dyDescent="0.55000000000000004">
      <c r="A409" s="9" t="str">
        <f>HYPERLINK("PDF\FOIA-FWS-2020-00724-0000408.pdf","FOIA-FWS-2020-00724-0000408")</f>
        <v>FOIA-FWS-2020-00724-0000408</v>
      </c>
      <c r="B409" s="3" t="s">
        <v>833</v>
      </c>
      <c r="C409" s="3" t="s">
        <v>234</v>
      </c>
      <c r="D409" s="3" t="s">
        <v>33</v>
      </c>
      <c r="E409" s="3" t="s">
        <v>835</v>
      </c>
      <c r="F409" s="4">
        <v>43343.835416666669</v>
      </c>
      <c r="G409" s="3"/>
      <c r="H409" s="3"/>
      <c r="I409" s="3" t="s">
        <v>7043</v>
      </c>
      <c r="J409" s="3"/>
      <c r="K409" s="3"/>
      <c r="L409" s="5"/>
    </row>
    <row r="410" spans="1:12" ht="28.8" x14ac:dyDescent="0.55000000000000004">
      <c r="A410" s="9" t="str">
        <f>HYPERLINK("PDF\FOIA-FWS-2020-00724-0000409.pdf","FOIA-FWS-2020-00724-0000409")</f>
        <v>FOIA-FWS-2020-00724-0000409</v>
      </c>
      <c r="B410" s="3" t="s">
        <v>836</v>
      </c>
      <c r="C410" s="3" t="s">
        <v>3</v>
      </c>
      <c r="D410" s="3" t="s">
        <v>38</v>
      </c>
      <c r="E410" s="3" t="s">
        <v>837</v>
      </c>
      <c r="F410" s="4">
        <v>43344</v>
      </c>
      <c r="G410" s="3"/>
      <c r="H410" s="3"/>
      <c r="I410" s="3" t="s">
        <v>7043</v>
      </c>
      <c r="J410" s="3"/>
      <c r="K410" s="3"/>
      <c r="L410" s="5"/>
    </row>
    <row r="411" spans="1:12" ht="28.8" x14ac:dyDescent="0.55000000000000004">
      <c r="A411" s="9" t="str">
        <f>HYPERLINK("PDF\FOIA-FWS-2020-00724-0000410.pdf","FOIA-FWS-2020-00724-0000410")</f>
        <v>FOIA-FWS-2020-00724-0000410</v>
      </c>
      <c r="B411" s="3" t="s">
        <v>838</v>
      </c>
      <c r="C411" s="3" t="s">
        <v>3</v>
      </c>
      <c r="D411" s="3" t="s">
        <v>4</v>
      </c>
      <c r="E411" s="3" t="s">
        <v>839</v>
      </c>
      <c r="F411" s="4">
        <v>43344</v>
      </c>
      <c r="G411" s="3"/>
      <c r="H411" s="3"/>
      <c r="I411" s="3" t="s">
        <v>7043</v>
      </c>
      <c r="J411" s="3"/>
      <c r="K411" s="3"/>
      <c r="L411" s="5"/>
    </row>
    <row r="412" spans="1:12" ht="43.2" x14ac:dyDescent="0.55000000000000004">
      <c r="A412" s="9" t="str">
        <f>HYPERLINK("PDF\FOIA-FWS-2020-00724-0000411.pdf","FOIA-FWS-2020-00724-0000411")</f>
        <v>FOIA-FWS-2020-00724-0000411</v>
      </c>
      <c r="B412" s="3" t="s">
        <v>840</v>
      </c>
      <c r="C412" s="3" t="s">
        <v>3</v>
      </c>
      <c r="D412" s="3" t="s">
        <v>33</v>
      </c>
      <c r="E412" s="3" t="s">
        <v>842</v>
      </c>
      <c r="F412" s="4">
        <v>43361.934027777781</v>
      </c>
      <c r="G412" s="3" t="s">
        <v>752</v>
      </c>
      <c r="H412" s="3" t="s">
        <v>841</v>
      </c>
      <c r="I412" s="3" t="s">
        <v>7043</v>
      </c>
      <c r="J412" s="3"/>
      <c r="K412" s="3"/>
      <c r="L412" s="5"/>
    </row>
    <row r="413" spans="1:12" ht="28.8" x14ac:dyDescent="0.55000000000000004">
      <c r="A413" s="9" t="str">
        <f>HYPERLINK("PDF\FOIA-FWS-2020-00724-0000412.pdf","FOIA-FWS-2020-00724-0000412")</f>
        <v>FOIA-FWS-2020-00724-0000412</v>
      </c>
      <c r="B413" s="3" t="s">
        <v>840</v>
      </c>
      <c r="C413" s="3" t="s">
        <v>234</v>
      </c>
      <c r="D413" s="3" t="s">
        <v>33</v>
      </c>
      <c r="E413" s="3" t="s">
        <v>843</v>
      </c>
      <c r="F413" s="4">
        <v>43361.934027777781</v>
      </c>
      <c r="G413" s="3"/>
      <c r="H413" s="3"/>
      <c r="I413" s="3" t="s">
        <v>7043</v>
      </c>
      <c r="J413" s="3"/>
      <c r="K413" s="3"/>
      <c r="L413" s="5"/>
    </row>
    <row r="414" spans="1:12" ht="28.8" x14ac:dyDescent="0.55000000000000004">
      <c r="A414" s="9" t="str">
        <f>HYPERLINK("PDF\FOIA-FWS-2020-00724-0000413.pdf","FOIA-FWS-2020-00724-0000413")</f>
        <v>FOIA-FWS-2020-00724-0000413</v>
      </c>
      <c r="B414" s="3" t="s">
        <v>840</v>
      </c>
      <c r="C414" s="3" t="s">
        <v>234</v>
      </c>
      <c r="D414" s="3" t="s">
        <v>33</v>
      </c>
      <c r="E414" s="3" t="s">
        <v>844</v>
      </c>
      <c r="F414" s="4">
        <v>43361.934027777781</v>
      </c>
      <c r="G414" s="3"/>
      <c r="H414" s="3"/>
      <c r="I414" s="3" t="s">
        <v>7043</v>
      </c>
      <c r="J414" s="3"/>
      <c r="K414" s="3"/>
      <c r="L414" s="5"/>
    </row>
    <row r="415" spans="1:12" ht="43.2" x14ac:dyDescent="0.55000000000000004">
      <c r="A415" s="9" t="str">
        <f>HYPERLINK("PDF\FOIA-FWS-2020-00724-0000414.pdf","FOIA-FWS-2020-00724-0000414")</f>
        <v>FOIA-FWS-2020-00724-0000414</v>
      </c>
      <c r="B415" s="3" t="s">
        <v>845</v>
      </c>
      <c r="C415" s="3" t="s">
        <v>3</v>
      </c>
      <c r="D415" s="3" t="s">
        <v>4</v>
      </c>
      <c r="E415" s="3" t="s">
        <v>846</v>
      </c>
      <c r="F415" s="4">
        <v>43362</v>
      </c>
      <c r="G415" s="3"/>
      <c r="H415" s="3"/>
      <c r="I415" s="3" t="s">
        <v>7043</v>
      </c>
      <c r="J415" s="3"/>
      <c r="K415" s="3"/>
      <c r="L415" s="5"/>
    </row>
    <row r="416" spans="1:12" ht="43.2" x14ac:dyDescent="0.55000000000000004">
      <c r="A416" s="9" t="str">
        <f>HYPERLINK("PDF\FOIA-FWS-2020-00724-0000415.pdf","FOIA-FWS-2020-00724-0000415")</f>
        <v>FOIA-FWS-2020-00724-0000415</v>
      </c>
      <c r="B416" s="3" t="s">
        <v>847</v>
      </c>
      <c r="C416" s="3" t="s">
        <v>3</v>
      </c>
      <c r="D416" s="3" t="s">
        <v>4</v>
      </c>
      <c r="E416" s="3" t="s">
        <v>848</v>
      </c>
      <c r="F416" s="4">
        <v>43364</v>
      </c>
      <c r="G416" s="3"/>
      <c r="H416" s="3"/>
      <c r="I416" s="3" t="s">
        <v>7043</v>
      </c>
      <c r="J416" s="3"/>
      <c r="K416" s="3"/>
      <c r="L416" s="5"/>
    </row>
    <row r="417" spans="1:12" ht="43.2" x14ac:dyDescent="0.55000000000000004">
      <c r="A417" s="9" t="str">
        <f>HYPERLINK("PDF\FOIA-FWS-2020-00724-0000416.pdf","FOIA-FWS-2020-00724-0000416")</f>
        <v>FOIA-FWS-2020-00724-0000416</v>
      </c>
      <c r="B417" s="3" t="s">
        <v>849</v>
      </c>
      <c r="C417" s="3" t="s">
        <v>3</v>
      </c>
      <c r="D417" s="3" t="s">
        <v>4</v>
      </c>
      <c r="E417" s="3" t="s">
        <v>850</v>
      </c>
      <c r="F417" s="4">
        <v>43364</v>
      </c>
      <c r="G417" s="3"/>
      <c r="H417" s="3"/>
      <c r="I417" s="3" t="s">
        <v>7043</v>
      </c>
      <c r="J417" s="3"/>
      <c r="K417" s="3"/>
      <c r="L417" s="5"/>
    </row>
    <row r="418" spans="1:12" ht="86.4" x14ac:dyDescent="0.55000000000000004">
      <c r="A418" t="s">
        <v>851</v>
      </c>
      <c r="B418" s="3" t="s">
        <v>851</v>
      </c>
      <c r="C418" s="3" t="s">
        <v>3</v>
      </c>
      <c r="D418" s="3" t="s">
        <v>33</v>
      </c>
      <c r="E418" s="3" t="s">
        <v>854</v>
      </c>
      <c r="F418" s="4">
        <v>43364.870138888888</v>
      </c>
      <c r="G418" s="3" t="s">
        <v>852</v>
      </c>
      <c r="H418" s="3" t="s">
        <v>853</v>
      </c>
      <c r="I418" s="3" t="s">
        <v>7044</v>
      </c>
      <c r="J418" s="3" t="s">
        <v>7046</v>
      </c>
      <c r="K418" s="3"/>
      <c r="L418" s="5"/>
    </row>
    <row r="419" spans="1:12" ht="28.8" x14ac:dyDescent="0.55000000000000004">
      <c r="A419" s="9" t="str">
        <f>HYPERLINK("PDF\FOIA-FWS-2020-00724-0000418.pdf","FOIA-FWS-2020-00724-0000418")</f>
        <v>FOIA-FWS-2020-00724-0000418</v>
      </c>
      <c r="B419" s="3" t="s">
        <v>851</v>
      </c>
      <c r="C419" s="3" t="s">
        <v>234</v>
      </c>
      <c r="D419" s="3" t="s">
        <v>33</v>
      </c>
      <c r="E419" s="3" t="s">
        <v>855</v>
      </c>
      <c r="F419" s="4">
        <v>43364.870138888888</v>
      </c>
      <c r="G419" s="3"/>
      <c r="H419" s="3"/>
      <c r="I419" s="3" t="s">
        <v>7043</v>
      </c>
      <c r="J419" s="3"/>
      <c r="K419" s="3"/>
      <c r="L419" s="5"/>
    </row>
    <row r="420" spans="1:12" ht="86.4" x14ac:dyDescent="0.55000000000000004">
      <c r="A420" s="9" t="str">
        <f>HYPERLINK("PDF\FOIA-FWS-2020-00724-0000419.pdf","FOIA-FWS-2020-00724-0000419")</f>
        <v>FOIA-FWS-2020-00724-0000419</v>
      </c>
      <c r="B420" s="3" t="s">
        <v>856</v>
      </c>
      <c r="C420" s="3" t="s">
        <v>3</v>
      </c>
      <c r="D420" s="3" t="s">
        <v>33</v>
      </c>
      <c r="E420" s="3" t="s">
        <v>859</v>
      </c>
      <c r="F420" s="4">
        <v>43367.506249999999</v>
      </c>
      <c r="G420" s="3" t="s">
        <v>857</v>
      </c>
      <c r="H420" s="3" t="s">
        <v>858</v>
      </c>
      <c r="I420" s="3" t="s">
        <v>7043</v>
      </c>
      <c r="J420" s="3"/>
      <c r="K420" s="3"/>
      <c r="L420" s="5"/>
    </row>
    <row r="421" spans="1:12" ht="43.2" x14ac:dyDescent="0.55000000000000004">
      <c r="A421" s="9" t="str">
        <f>HYPERLINK("PDF\FOIA-FWS-2020-00724-0000420.pdf","FOIA-FWS-2020-00724-0000420")</f>
        <v>FOIA-FWS-2020-00724-0000420</v>
      </c>
      <c r="B421" s="3" t="s">
        <v>860</v>
      </c>
      <c r="C421" s="3" t="s">
        <v>3</v>
      </c>
      <c r="D421" s="3" t="s">
        <v>33</v>
      </c>
      <c r="E421" s="3" t="s">
        <v>863</v>
      </c>
      <c r="F421" s="4">
        <v>43367.631944444445</v>
      </c>
      <c r="G421" s="3" t="s">
        <v>861</v>
      </c>
      <c r="H421" s="3" t="s">
        <v>862</v>
      </c>
      <c r="I421" s="3" t="s">
        <v>864</v>
      </c>
      <c r="J421" s="3" t="s">
        <v>7046</v>
      </c>
      <c r="K421" s="3" t="s">
        <v>7036</v>
      </c>
      <c r="L421" s="5"/>
    </row>
    <row r="422" spans="1:12" ht="100.8" x14ac:dyDescent="0.55000000000000004">
      <c r="A422" s="9" t="str">
        <f>HYPERLINK("PDF\FOIA-FWS-2020-00724-0000421.pdf","FOIA-FWS-2020-00724-0000421")</f>
        <v>FOIA-FWS-2020-00724-0000421</v>
      </c>
      <c r="B422" s="3" t="s">
        <v>860</v>
      </c>
      <c r="C422" s="3" t="s">
        <v>234</v>
      </c>
      <c r="D422" s="3" t="s">
        <v>33</v>
      </c>
      <c r="E422" s="3" t="s">
        <v>867</v>
      </c>
      <c r="F422" s="4">
        <v>43367.631944444445</v>
      </c>
      <c r="G422" s="3" t="s">
        <v>865</v>
      </c>
      <c r="H422" s="3" t="s">
        <v>866</v>
      </c>
      <c r="I422" s="3" t="s">
        <v>864</v>
      </c>
      <c r="J422" s="3" t="s">
        <v>7046</v>
      </c>
      <c r="K422" s="3" t="s">
        <v>7036</v>
      </c>
      <c r="L422" s="5"/>
    </row>
    <row r="423" spans="1:12" ht="43.2" x14ac:dyDescent="0.55000000000000004">
      <c r="A423" s="9" t="str">
        <f>HYPERLINK("PDF\FOIA-FWS-2020-00724-0000422.pdf","FOIA-FWS-2020-00724-0000422")</f>
        <v>FOIA-FWS-2020-00724-0000422</v>
      </c>
      <c r="B423" s="3" t="s">
        <v>868</v>
      </c>
      <c r="C423" s="3" t="s">
        <v>3</v>
      </c>
      <c r="D423" s="3" t="s">
        <v>33</v>
      </c>
      <c r="E423" s="3" t="s">
        <v>870</v>
      </c>
      <c r="F423" s="4">
        <v>43367.691666666666</v>
      </c>
      <c r="G423" s="3" t="s">
        <v>675</v>
      </c>
      <c r="H423" s="3" t="s">
        <v>869</v>
      </c>
      <c r="I423" s="3" t="s">
        <v>7043</v>
      </c>
      <c r="J423" s="3"/>
      <c r="K423" s="3"/>
      <c r="L423" s="5"/>
    </row>
    <row r="424" spans="1:12" ht="57.6" x14ac:dyDescent="0.55000000000000004">
      <c r="A424" t="s">
        <v>871</v>
      </c>
      <c r="B424" s="3" t="s">
        <v>871</v>
      </c>
      <c r="C424" s="3" t="s">
        <v>3</v>
      </c>
      <c r="D424" s="3" t="s">
        <v>33</v>
      </c>
      <c r="E424" s="3" t="s">
        <v>874</v>
      </c>
      <c r="F424" s="4">
        <v>43368.494444444441</v>
      </c>
      <c r="G424" s="3" t="s">
        <v>872</v>
      </c>
      <c r="H424" s="3" t="s">
        <v>873</v>
      </c>
      <c r="I424" s="3" t="s">
        <v>7044</v>
      </c>
      <c r="J424" s="3" t="s">
        <v>7046</v>
      </c>
      <c r="K424" s="3"/>
      <c r="L424" s="5"/>
    </row>
    <row r="425" spans="1:12" ht="28.8" x14ac:dyDescent="0.55000000000000004">
      <c r="A425" s="9" t="str">
        <f>HYPERLINK("PDF\FOIA-FWS-2020-00724-0000424.pdf","FOIA-FWS-2020-00724-0000424")</f>
        <v>FOIA-FWS-2020-00724-0000424</v>
      </c>
      <c r="B425" s="3" t="s">
        <v>871</v>
      </c>
      <c r="C425" s="3" t="s">
        <v>234</v>
      </c>
      <c r="D425" s="3" t="s">
        <v>33</v>
      </c>
      <c r="E425" s="3" t="s">
        <v>855</v>
      </c>
      <c r="F425" s="4">
        <v>43368.494444444441</v>
      </c>
      <c r="G425" s="3"/>
      <c r="H425" s="3"/>
      <c r="I425" s="3" t="s">
        <v>7043</v>
      </c>
      <c r="J425" s="3"/>
      <c r="K425" s="3"/>
      <c r="L425" s="5"/>
    </row>
    <row r="426" spans="1:12" ht="28.8" x14ac:dyDescent="0.55000000000000004">
      <c r="A426" s="9" t="str">
        <f>HYPERLINK("PDF\FOIA-FWS-2020-00724-0000425.pdf","FOIA-FWS-2020-00724-0000425")</f>
        <v>FOIA-FWS-2020-00724-0000425</v>
      </c>
      <c r="B426" s="3" t="s">
        <v>875</v>
      </c>
      <c r="C426" s="3" t="s">
        <v>3</v>
      </c>
      <c r="D426" s="3" t="s">
        <v>33</v>
      </c>
      <c r="E426" s="3" t="s">
        <v>878</v>
      </c>
      <c r="F426" s="4">
        <v>43368.762499999997</v>
      </c>
      <c r="G426" s="3" t="s">
        <v>876</v>
      </c>
      <c r="H426" s="3" t="s">
        <v>877</v>
      </c>
      <c r="I426" s="3" t="s">
        <v>7043</v>
      </c>
      <c r="J426" s="3"/>
      <c r="K426" s="3"/>
      <c r="L426" s="5"/>
    </row>
    <row r="427" spans="1:12" ht="43.2" x14ac:dyDescent="0.55000000000000004">
      <c r="A427" s="9" t="str">
        <f>HYPERLINK("PDF\FOIA-FWS-2020-00724-0000426.pdf","FOIA-FWS-2020-00724-0000426")</f>
        <v>FOIA-FWS-2020-00724-0000426</v>
      </c>
      <c r="B427" s="3" t="s">
        <v>879</v>
      </c>
      <c r="C427" s="3" t="s">
        <v>3</v>
      </c>
      <c r="D427" s="3" t="s">
        <v>4</v>
      </c>
      <c r="E427" s="3" t="s">
        <v>880</v>
      </c>
      <c r="F427" s="4">
        <v>43369</v>
      </c>
      <c r="G427" s="3"/>
      <c r="H427" s="3"/>
      <c r="I427" s="3" t="s">
        <v>7043</v>
      </c>
      <c r="J427" s="3"/>
      <c r="K427" s="3"/>
      <c r="L427" s="5"/>
    </row>
    <row r="428" spans="1:12" ht="28.8" x14ac:dyDescent="0.55000000000000004">
      <c r="A428" s="9" t="str">
        <f>HYPERLINK("PDF\FOIA-FWS-2020-00724-0000427.pdf","FOIA-FWS-2020-00724-0000427")</f>
        <v>FOIA-FWS-2020-00724-0000427</v>
      </c>
      <c r="B428" s="3" t="s">
        <v>881</v>
      </c>
      <c r="C428" s="3" t="s">
        <v>3</v>
      </c>
      <c r="D428" s="3" t="s">
        <v>33</v>
      </c>
      <c r="E428" s="3" t="s">
        <v>882</v>
      </c>
      <c r="F428" s="4">
        <v>43369.50277777778</v>
      </c>
      <c r="G428" s="3" t="s">
        <v>675</v>
      </c>
      <c r="H428" s="3" t="s">
        <v>709</v>
      </c>
      <c r="I428" s="3" t="s">
        <v>7043</v>
      </c>
      <c r="J428" s="3"/>
      <c r="K428" s="3"/>
      <c r="L428" s="5"/>
    </row>
    <row r="429" spans="1:12" ht="28.8" x14ac:dyDescent="0.55000000000000004">
      <c r="A429" s="9" t="str">
        <f>HYPERLINK("PDF\FOIA-FWS-2020-00724-0000428.pdf","FOIA-FWS-2020-00724-0000428")</f>
        <v>FOIA-FWS-2020-00724-0000428</v>
      </c>
      <c r="B429" s="3" t="s">
        <v>881</v>
      </c>
      <c r="C429" s="3" t="s">
        <v>234</v>
      </c>
      <c r="D429" s="3" t="s">
        <v>33</v>
      </c>
      <c r="E429" s="3" t="s">
        <v>883</v>
      </c>
      <c r="F429" s="4">
        <v>43369.50277777778</v>
      </c>
      <c r="G429" s="3"/>
      <c r="H429" s="3"/>
      <c r="I429" s="3" t="s">
        <v>7043</v>
      </c>
      <c r="J429" s="3"/>
      <c r="K429" s="3"/>
      <c r="L429" s="5"/>
    </row>
    <row r="430" spans="1:12" ht="43.2" x14ac:dyDescent="0.55000000000000004">
      <c r="A430" s="9" t="str">
        <f>HYPERLINK("PDF\FOIA-FWS-2020-00724-0000429.pdf","FOIA-FWS-2020-00724-0000429")</f>
        <v>FOIA-FWS-2020-00724-0000429</v>
      </c>
      <c r="B430" s="3" t="s">
        <v>884</v>
      </c>
      <c r="C430" s="3" t="s">
        <v>3</v>
      </c>
      <c r="D430" s="3" t="s">
        <v>33</v>
      </c>
      <c r="E430" s="3" t="s">
        <v>887</v>
      </c>
      <c r="F430" s="4">
        <v>43371.510416666664</v>
      </c>
      <c r="G430" s="3" t="s">
        <v>885</v>
      </c>
      <c r="H430" s="3" t="s">
        <v>886</v>
      </c>
      <c r="I430" s="3" t="s">
        <v>7043</v>
      </c>
      <c r="J430" s="3"/>
      <c r="K430" s="3"/>
      <c r="L430" s="5"/>
    </row>
    <row r="431" spans="1:12" ht="28.8" x14ac:dyDescent="0.55000000000000004">
      <c r="A431" s="9" t="str">
        <f>HYPERLINK("PDF\FOIA-FWS-2020-00724-0000430.pdf","FOIA-FWS-2020-00724-0000430")</f>
        <v>FOIA-FWS-2020-00724-0000430</v>
      </c>
      <c r="B431" s="3" t="s">
        <v>888</v>
      </c>
      <c r="C431" s="3" t="s">
        <v>3</v>
      </c>
      <c r="D431" s="3" t="s">
        <v>38</v>
      </c>
      <c r="E431" s="3" t="s">
        <v>889</v>
      </c>
      <c r="F431" s="4">
        <v>43374</v>
      </c>
      <c r="G431" s="3"/>
      <c r="H431" s="3"/>
      <c r="I431" s="3" t="s">
        <v>7043</v>
      </c>
      <c r="J431" s="3"/>
      <c r="K431" s="3"/>
      <c r="L431" s="5"/>
    </row>
    <row r="432" spans="1:12" ht="28.8" x14ac:dyDescent="0.55000000000000004">
      <c r="A432" s="9" t="str">
        <f>HYPERLINK("PDF\FOIA-FWS-2020-00724-0000431.pdf","FOIA-FWS-2020-00724-0000431")</f>
        <v>FOIA-FWS-2020-00724-0000431</v>
      </c>
      <c r="B432" s="3" t="s">
        <v>890</v>
      </c>
      <c r="C432" s="3" t="s">
        <v>3</v>
      </c>
      <c r="D432" s="3" t="s">
        <v>38</v>
      </c>
      <c r="E432" s="3" t="s">
        <v>891</v>
      </c>
      <c r="F432" s="4">
        <v>43374</v>
      </c>
      <c r="G432" s="3"/>
      <c r="H432" s="3"/>
      <c r="I432" s="3" t="s">
        <v>7043</v>
      </c>
      <c r="J432" s="3"/>
      <c r="K432" s="3"/>
      <c r="L432" s="5"/>
    </row>
    <row r="433" spans="1:12" ht="28.8" x14ac:dyDescent="0.55000000000000004">
      <c r="A433" s="9" t="str">
        <f>HYPERLINK("PDF\FOIA-FWS-2020-00724-0000432.pdf","FOIA-FWS-2020-00724-0000432")</f>
        <v>FOIA-FWS-2020-00724-0000432</v>
      </c>
      <c r="B433" s="3" t="s">
        <v>892</v>
      </c>
      <c r="C433" s="3" t="s">
        <v>3</v>
      </c>
      <c r="D433" s="3" t="s">
        <v>33</v>
      </c>
      <c r="E433" s="3" t="s">
        <v>894</v>
      </c>
      <c r="F433" s="4">
        <v>43374.445833333331</v>
      </c>
      <c r="G433" s="3" t="s">
        <v>893</v>
      </c>
      <c r="H433" s="3" t="s">
        <v>872</v>
      </c>
      <c r="I433" s="3" t="s">
        <v>7043</v>
      </c>
      <c r="J433" s="3"/>
      <c r="K433" s="3"/>
      <c r="L433" s="5"/>
    </row>
    <row r="434" spans="1:12" ht="28.8" x14ac:dyDescent="0.55000000000000004">
      <c r="A434" s="9" t="str">
        <f>HYPERLINK("PDF\FOIA-FWS-2020-00724-0000433.pdf","FOIA-FWS-2020-00724-0000433")</f>
        <v>FOIA-FWS-2020-00724-0000433</v>
      </c>
      <c r="B434" s="3" t="s">
        <v>892</v>
      </c>
      <c r="C434" s="3" t="s">
        <v>234</v>
      </c>
      <c r="D434" s="3" t="s">
        <v>33</v>
      </c>
      <c r="E434" s="3" t="s">
        <v>895</v>
      </c>
      <c r="F434" s="4">
        <v>43374.445833333331</v>
      </c>
      <c r="G434" s="3"/>
      <c r="H434" s="3"/>
      <c r="I434" s="3" t="s">
        <v>7043</v>
      </c>
      <c r="J434" s="3"/>
      <c r="K434" s="3"/>
      <c r="L434" s="5"/>
    </row>
    <row r="435" spans="1:12" ht="28.8" x14ac:dyDescent="0.55000000000000004">
      <c r="A435" s="9" t="str">
        <f>HYPERLINK("PDF\FOIA-FWS-2020-00724-0000434.pdf","FOIA-FWS-2020-00724-0000434")</f>
        <v>FOIA-FWS-2020-00724-0000434</v>
      </c>
      <c r="B435" s="3" t="s">
        <v>892</v>
      </c>
      <c r="C435" s="3" t="s">
        <v>234</v>
      </c>
      <c r="D435" s="3" t="s">
        <v>33</v>
      </c>
      <c r="E435" s="3" t="s">
        <v>883</v>
      </c>
      <c r="F435" s="4">
        <v>43374.445833333331</v>
      </c>
      <c r="G435" s="3"/>
      <c r="H435" s="3"/>
      <c r="I435" s="3" t="s">
        <v>7043</v>
      </c>
      <c r="J435" s="3"/>
      <c r="K435" s="3"/>
      <c r="L435" s="5"/>
    </row>
    <row r="436" spans="1:12" ht="43.2" x14ac:dyDescent="0.55000000000000004">
      <c r="A436" s="9" t="str">
        <f>HYPERLINK("PDF\FOIA-FWS-2020-00724-0000435.pdf","FOIA-FWS-2020-00724-0000435")</f>
        <v>FOIA-FWS-2020-00724-0000435</v>
      </c>
      <c r="B436" s="3" t="s">
        <v>896</v>
      </c>
      <c r="C436" s="3" t="s">
        <v>3</v>
      </c>
      <c r="D436" s="3" t="s">
        <v>33</v>
      </c>
      <c r="E436" s="3" t="s">
        <v>897</v>
      </c>
      <c r="F436" s="4">
        <v>43376</v>
      </c>
      <c r="G436" s="3"/>
      <c r="H436" s="3"/>
      <c r="I436" s="3" t="s">
        <v>7043</v>
      </c>
      <c r="J436" s="3"/>
      <c r="K436" s="3"/>
      <c r="L436" s="5"/>
    </row>
    <row r="437" spans="1:12" ht="28.8" x14ac:dyDescent="0.55000000000000004">
      <c r="A437" s="9" t="str">
        <f>HYPERLINK("PDF\FOIA-FWS-2020-00724-0000436.pdf","FOIA-FWS-2020-00724-0000436")</f>
        <v>FOIA-FWS-2020-00724-0000436</v>
      </c>
      <c r="B437" s="3" t="s">
        <v>898</v>
      </c>
      <c r="C437" s="3" t="s">
        <v>3</v>
      </c>
      <c r="D437" s="3" t="s">
        <v>33</v>
      </c>
      <c r="E437" s="3" t="s">
        <v>901</v>
      </c>
      <c r="F437" s="4">
        <v>43376.53125</v>
      </c>
      <c r="G437" s="3" t="s">
        <v>899</v>
      </c>
      <c r="H437" s="3" t="s">
        <v>900</v>
      </c>
      <c r="I437" s="3" t="s">
        <v>7043</v>
      </c>
      <c r="J437" s="3"/>
      <c r="K437" s="3"/>
      <c r="L437" s="5"/>
    </row>
    <row r="438" spans="1:12" ht="144" x14ac:dyDescent="0.55000000000000004">
      <c r="A438" s="9" t="str">
        <f>HYPERLINK("PDF\FOIA-FWS-2020-00724-0000437.pdf","FOIA-FWS-2020-00724-0000437")</f>
        <v>FOIA-FWS-2020-00724-0000437</v>
      </c>
      <c r="B438" s="3" t="s">
        <v>902</v>
      </c>
      <c r="C438" s="3" t="s">
        <v>3</v>
      </c>
      <c r="D438" s="3" t="s">
        <v>33</v>
      </c>
      <c r="E438" s="3" t="s">
        <v>903</v>
      </c>
      <c r="F438" s="4">
        <v>43376.768750000003</v>
      </c>
      <c r="G438" s="3" t="s">
        <v>7069</v>
      </c>
      <c r="H438" s="3" t="s">
        <v>7068</v>
      </c>
      <c r="I438" s="3" t="s">
        <v>7043</v>
      </c>
      <c r="J438" s="3"/>
      <c r="K438" s="3"/>
      <c r="L438" s="5"/>
    </row>
    <row r="439" spans="1:12" ht="28.8" x14ac:dyDescent="0.55000000000000004">
      <c r="A439" s="9" t="str">
        <f>HYPERLINK("PDF\FOIA-FWS-2020-00724-0000438.pdf","FOIA-FWS-2020-00724-0000438")</f>
        <v>FOIA-FWS-2020-00724-0000438</v>
      </c>
      <c r="B439" s="3" t="s">
        <v>902</v>
      </c>
      <c r="C439" s="3" t="s">
        <v>234</v>
      </c>
      <c r="D439" s="3" t="s">
        <v>33</v>
      </c>
      <c r="E439" s="3" t="s">
        <v>904</v>
      </c>
      <c r="F439" s="4">
        <v>43376.768750000003</v>
      </c>
      <c r="G439" s="3"/>
      <c r="H439" s="3"/>
      <c r="I439" s="3" t="s">
        <v>7043</v>
      </c>
      <c r="J439" s="3"/>
      <c r="K439" s="3"/>
      <c r="L439" s="5"/>
    </row>
    <row r="440" spans="1:12" ht="43.2" x14ac:dyDescent="0.55000000000000004">
      <c r="A440" s="9" t="str">
        <f>HYPERLINK("PDF\FOIA-FWS-2020-00724-0000439.pdf","FOIA-FWS-2020-00724-0000439")</f>
        <v>FOIA-FWS-2020-00724-0000439</v>
      </c>
      <c r="B440" s="3" t="s">
        <v>905</v>
      </c>
      <c r="C440" s="3" t="s">
        <v>3</v>
      </c>
      <c r="D440" s="3" t="s">
        <v>4</v>
      </c>
      <c r="E440" s="3" t="s">
        <v>906</v>
      </c>
      <c r="F440" s="4">
        <v>43377</v>
      </c>
      <c r="G440" s="3"/>
      <c r="H440" s="3"/>
      <c r="I440" s="3" t="s">
        <v>7043</v>
      </c>
      <c r="J440" s="3"/>
      <c r="K440" s="3"/>
      <c r="L440" s="5"/>
    </row>
    <row r="441" spans="1:12" ht="72" x14ac:dyDescent="0.55000000000000004">
      <c r="A441" s="9" t="str">
        <f>HYPERLINK("PDF\FOIA-FWS-2020-00724-0000440.pdf","FOIA-FWS-2020-00724-0000440")</f>
        <v>FOIA-FWS-2020-00724-0000440</v>
      </c>
      <c r="B441" s="3" t="s">
        <v>907</v>
      </c>
      <c r="C441" s="3" t="s">
        <v>3</v>
      </c>
      <c r="D441" s="3" t="s">
        <v>33</v>
      </c>
      <c r="E441" s="3" t="s">
        <v>909</v>
      </c>
      <c r="F441" s="4">
        <v>43377.180555555555</v>
      </c>
      <c r="G441" s="3" t="s">
        <v>7061</v>
      </c>
      <c r="H441" s="3" t="s">
        <v>908</v>
      </c>
      <c r="I441" s="3" t="s">
        <v>7043</v>
      </c>
      <c r="J441" s="3"/>
      <c r="K441" s="3"/>
      <c r="L441" s="5"/>
    </row>
    <row r="442" spans="1:12" ht="28.8" x14ac:dyDescent="0.55000000000000004">
      <c r="A442" s="9" t="str">
        <f>HYPERLINK("PDF\FOIA-FWS-2020-00724-0000441.pdf","FOIA-FWS-2020-00724-0000441")</f>
        <v>FOIA-FWS-2020-00724-0000441</v>
      </c>
      <c r="B442" s="3" t="s">
        <v>907</v>
      </c>
      <c r="C442" s="3" t="s">
        <v>234</v>
      </c>
      <c r="D442" s="3" t="s">
        <v>33</v>
      </c>
      <c r="E442" s="3" t="s">
        <v>910</v>
      </c>
      <c r="F442" s="4">
        <v>43377.180555555555</v>
      </c>
      <c r="G442" s="3"/>
      <c r="H442" s="3"/>
      <c r="I442" s="3" t="s">
        <v>7043</v>
      </c>
      <c r="J442" s="3"/>
      <c r="K442" s="3"/>
      <c r="L442" s="5"/>
    </row>
    <row r="443" spans="1:12" ht="57.6" x14ac:dyDescent="0.55000000000000004">
      <c r="A443" s="9" t="str">
        <f>HYPERLINK("PDF\FOIA-FWS-2020-00724-0000442.pdf","FOIA-FWS-2020-00724-0000442")</f>
        <v>FOIA-FWS-2020-00724-0000442</v>
      </c>
      <c r="B443" s="3" t="s">
        <v>911</v>
      </c>
      <c r="C443" s="3" t="s">
        <v>3</v>
      </c>
      <c r="D443" s="3" t="s">
        <v>33</v>
      </c>
      <c r="E443" s="3" t="s">
        <v>914</v>
      </c>
      <c r="F443" s="4">
        <v>43377.503472222219</v>
      </c>
      <c r="G443" s="3" t="s">
        <v>912</v>
      </c>
      <c r="H443" s="3" t="s">
        <v>913</v>
      </c>
      <c r="I443" s="3" t="s">
        <v>7043</v>
      </c>
      <c r="J443" s="3"/>
      <c r="K443" s="3"/>
      <c r="L443" s="5"/>
    </row>
    <row r="444" spans="1:12" ht="28.8" x14ac:dyDescent="0.55000000000000004">
      <c r="A444" s="9" t="str">
        <f>HYPERLINK("PDF\FOIA-FWS-2020-00724-0000443.pdf","FOIA-FWS-2020-00724-0000443")</f>
        <v>FOIA-FWS-2020-00724-0000443</v>
      </c>
      <c r="B444" s="3" t="s">
        <v>911</v>
      </c>
      <c r="C444" s="3" t="s">
        <v>234</v>
      </c>
      <c r="D444" s="3" t="s">
        <v>33</v>
      </c>
      <c r="E444" s="3" t="s">
        <v>915</v>
      </c>
      <c r="F444" s="4">
        <v>43377.503472222219</v>
      </c>
      <c r="G444" s="3"/>
      <c r="H444" s="3"/>
      <c r="I444" s="3" t="s">
        <v>7043</v>
      </c>
      <c r="J444" s="3"/>
      <c r="K444" s="3"/>
      <c r="L444" s="5"/>
    </row>
    <row r="445" spans="1:12" ht="158.4" x14ac:dyDescent="0.55000000000000004">
      <c r="A445" s="9" t="str">
        <f>HYPERLINK("PDF\FOIA-FWS-2020-00724-0000444.pdf","FOIA-FWS-2020-00724-0000444")</f>
        <v>FOIA-FWS-2020-00724-0000444</v>
      </c>
      <c r="B445" s="3" t="s">
        <v>916</v>
      </c>
      <c r="C445" s="3" t="s">
        <v>3</v>
      </c>
      <c r="D445" s="3" t="s">
        <v>33</v>
      </c>
      <c r="E445" s="3" t="s">
        <v>917</v>
      </c>
      <c r="F445" s="4">
        <v>43377.545138888891</v>
      </c>
      <c r="G445" s="3" t="s">
        <v>741</v>
      </c>
      <c r="H445" s="3" t="s">
        <v>7062</v>
      </c>
      <c r="I445" s="3" t="s">
        <v>7043</v>
      </c>
      <c r="J445" s="3"/>
      <c r="K445" s="3"/>
      <c r="L445" s="5"/>
    </row>
    <row r="446" spans="1:12" ht="43.2" x14ac:dyDescent="0.55000000000000004">
      <c r="A446" s="9" t="str">
        <f>HYPERLINK("PDF\FOIA-FWS-2020-00724-0000445.pdf","FOIA-FWS-2020-00724-0000445")</f>
        <v>FOIA-FWS-2020-00724-0000445</v>
      </c>
      <c r="B446" s="3" t="s">
        <v>918</v>
      </c>
      <c r="C446" s="3" t="s">
        <v>3</v>
      </c>
      <c r="D446" s="3" t="s">
        <v>33</v>
      </c>
      <c r="E446" s="3" t="s">
        <v>920</v>
      </c>
      <c r="F446" s="4">
        <v>43377.626388888886</v>
      </c>
      <c r="G446" s="3" t="s">
        <v>919</v>
      </c>
      <c r="H446" s="3" t="s">
        <v>852</v>
      </c>
      <c r="I446" s="3" t="s">
        <v>7044</v>
      </c>
      <c r="J446" s="3" t="s">
        <v>7046</v>
      </c>
      <c r="K446" s="3" t="s">
        <v>7036</v>
      </c>
      <c r="L446" s="5"/>
    </row>
    <row r="447" spans="1:12" ht="28.8" x14ac:dyDescent="0.55000000000000004">
      <c r="A447" s="9" t="str">
        <f>HYPERLINK("PDF\FOIA-FWS-2020-00724-0000446.pdf","FOIA-FWS-2020-00724-0000446")</f>
        <v>FOIA-FWS-2020-00724-0000446</v>
      </c>
      <c r="B447" s="3" t="s">
        <v>921</v>
      </c>
      <c r="C447" s="3" t="s">
        <v>3</v>
      </c>
      <c r="D447" s="3" t="s">
        <v>4</v>
      </c>
      <c r="E447" s="3" t="s">
        <v>922</v>
      </c>
      <c r="F447" s="4">
        <v>43383</v>
      </c>
      <c r="G447" s="3"/>
      <c r="H447" s="3"/>
      <c r="I447" s="3" t="s">
        <v>7043</v>
      </c>
      <c r="J447" s="3"/>
      <c r="K447" s="3"/>
      <c r="L447" s="5"/>
    </row>
    <row r="448" spans="1:12" ht="43.2" x14ac:dyDescent="0.55000000000000004">
      <c r="A448" s="9" t="str">
        <f>HYPERLINK("PDF\FOIA-FWS-2020-00724-0000447.pdf","FOIA-FWS-2020-00724-0000447")</f>
        <v>FOIA-FWS-2020-00724-0000447</v>
      </c>
      <c r="B448" s="3" t="s">
        <v>923</v>
      </c>
      <c r="C448" s="3" t="s">
        <v>3</v>
      </c>
      <c r="D448" s="3" t="s">
        <v>33</v>
      </c>
      <c r="E448" s="3" t="s">
        <v>924</v>
      </c>
      <c r="F448" s="4">
        <v>43384</v>
      </c>
      <c r="G448" s="3"/>
      <c r="H448" s="3"/>
      <c r="I448" s="3" t="s">
        <v>7043</v>
      </c>
      <c r="J448" s="3"/>
      <c r="K448" s="3"/>
      <c r="L448" s="5"/>
    </row>
    <row r="449" spans="1:12" ht="72" x14ac:dyDescent="0.55000000000000004">
      <c r="A449" s="9" t="str">
        <f>HYPERLINK("PDF\FOIA-FWS-2020-00724-0000448.pdf","FOIA-FWS-2020-00724-0000448")</f>
        <v>FOIA-FWS-2020-00724-0000448</v>
      </c>
      <c r="B449" s="3" t="s">
        <v>925</v>
      </c>
      <c r="C449" s="3" t="s">
        <v>3</v>
      </c>
      <c r="D449" s="3" t="s">
        <v>33</v>
      </c>
      <c r="E449" s="3" t="s">
        <v>928</v>
      </c>
      <c r="F449" s="4">
        <v>43384.806944444441</v>
      </c>
      <c r="G449" s="3" t="s">
        <v>926</v>
      </c>
      <c r="H449" s="3" t="s">
        <v>927</v>
      </c>
      <c r="I449" s="3" t="s">
        <v>7043</v>
      </c>
      <c r="J449" s="3"/>
      <c r="K449" s="3"/>
      <c r="L449" s="5"/>
    </row>
    <row r="450" spans="1:12" ht="57.6" x14ac:dyDescent="0.55000000000000004">
      <c r="A450" s="9" t="str">
        <f>HYPERLINK("PDF\FOIA-FWS-2020-00724-0000449.pdf","FOIA-FWS-2020-00724-0000449")</f>
        <v>FOIA-FWS-2020-00724-0000449</v>
      </c>
      <c r="B450" s="3" t="s">
        <v>929</v>
      </c>
      <c r="C450" s="3" t="s">
        <v>3</v>
      </c>
      <c r="D450" s="3" t="s">
        <v>33</v>
      </c>
      <c r="E450" s="3" t="s">
        <v>931</v>
      </c>
      <c r="F450" s="4">
        <v>43389.638194444444</v>
      </c>
      <c r="G450" s="3" t="s">
        <v>930</v>
      </c>
      <c r="H450" s="3" t="s">
        <v>7063</v>
      </c>
      <c r="I450" s="3" t="s">
        <v>7043</v>
      </c>
      <c r="J450" s="3"/>
      <c r="K450" s="3"/>
      <c r="L450" s="5"/>
    </row>
    <row r="451" spans="1:12" ht="28.8" x14ac:dyDescent="0.55000000000000004">
      <c r="A451" s="9" t="str">
        <f>HYPERLINK("PDF\FOIA-FWS-2020-00724-0000450.pdf","FOIA-FWS-2020-00724-0000450")</f>
        <v>FOIA-FWS-2020-00724-0000450</v>
      </c>
      <c r="B451" s="3" t="s">
        <v>929</v>
      </c>
      <c r="C451" s="3" t="s">
        <v>234</v>
      </c>
      <c r="D451" s="3" t="s">
        <v>33</v>
      </c>
      <c r="E451" s="3" t="s">
        <v>932</v>
      </c>
      <c r="F451" s="4">
        <v>43389.638194444444</v>
      </c>
      <c r="G451" s="3"/>
      <c r="H451" s="3"/>
      <c r="I451" s="3" t="s">
        <v>7043</v>
      </c>
      <c r="J451" s="3"/>
      <c r="K451" s="3"/>
      <c r="L451" s="5"/>
    </row>
    <row r="452" spans="1:12" ht="28.8" x14ac:dyDescent="0.55000000000000004">
      <c r="A452" s="9" t="str">
        <f>HYPERLINK("PDF\FOIA-FWS-2020-00724-0000451.pdf","FOIA-FWS-2020-00724-0000451")</f>
        <v>FOIA-FWS-2020-00724-0000451</v>
      </c>
      <c r="B452" s="3" t="s">
        <v>933</v>
      </c>
      <c r="C452" s="3" t="s">
        <v>3</v>
      </c>
      <c r="D452" s="3" t="s">
        <v>4</v>
      </c>
      <c r="E452" s="3" t="s">
        <v>934</v>
      </c>
      <c r="F452" s="4">
        <v>43391</v>
      </c>
      <c r="G452" s="3"/>
      <c r="H452" s="3"/>
      <c r="I452" s="3" t="s">
        <v>7043</v>
      </c>
      <c r="J452" s="3"/>
      <c r="K452" s="3"/>
      <c r="L452" s="5"/>
    </row>
    <row r="453" spans="1:12" ht="28.8" x14ac:dyDescent="0.55000000000000004">
      <c r="A453" s="9" t="str">
        <f>HYPERLINK("PDF\FOIA-FWS-2020-00724-0000452.pdf","FOIA-FWS-2020-00724-0000452")</f>
        <v>FOIA-FWS-2020-00724-0000452</v>
      </c>
      <c r="B453" s="3" t="s">
        <v>935</v>
      </c>
      <c r="C453" s="3" t="s">
        <v>3</v>
      </c>
      <c r="D453" s="3" t="s">
        <v>4</v>
      </c>
      <c r="E453" s="3" t="s">
        <v>936</v>
      </c>
      <c r="F453" s="4">
        <v>43392</v>
      </c>
      <c r="G453" s="3"/>
      <c r="H453" s="3"/>
      <c r="I453" s="3" t="s">
        <v>7043</v>
      </c>
      <c r="J453" s="3"/>
      <c r="K453" s="3"/>
      <c r="L453" s="5"/>
    </row>
    <row r="454" spans="1:12" ht="28.8" x14ac:dyDescent="0.55000000000000004">
      <c r="A454" s="9" t="str">
        <f>HYPERLINK("PDF\FOIA-FWS-2020-00724-0000453.pdf","FOIA-FWS-2020-00724-0000453")</f>
        <v>FOIA-FWS-2020-00724-0000453</v>
      </c>
      <c r="B454" s="3" t="s">
        <v>937</v>
      </c>
      <c r="C454" s="3" t="s">
        <v>3</v>
      </c>
      <c r="D454" s="3" t="s">
        <v>33</v>
      </c>
      <c r="E454" s="3" t="s">
        <v>939</v>
      </c>
      <c r="F454" s="4">
        <v>43392.690972222219</v>
      </c>
      <c r="G454" s="3" t="s">
        <v>938</v>
      </c>
      <c r="H454" s="3" t="s">
        <v>872</v>
      </c>
      <c r="I454" s="3" t="s">
        <v>7043</v>
      </c>
      <c r="J454" s="3"/>
      <c r="K454" s="3"/>
      <c r="L454" s="5"/>
    </row>
    <row r="455" spans="1:12" ht="28.8" x14ac:dyDescent="0.55000000000000004">
      <c r="A455" s="9" t="str">
        <f>HYPERLINK("PDF\FOIA-FWS-2020-00724-0000454.pdf","FOIA-FWS-2020-00724-0000454")</f>
        <v>FOIA-FWS-2020-00724-0000454</v>
      </c>
      <c r="B455" s="3" t="s">
        <v>940</v>
      </c>
      <c r="C455" s="3" t="s">
        <v>3</v>
      </c>
      <c r="D455" s="3" t="s">
        <v>33</v>
      </c>
      <c r="E455" s="3" t="s">
        <v>942</v>
      </c>
      <c r="F455" s="4">
        <v>43392.811805555553</v>
      </c>
      <c r="G455" s="3" t="s">
        <v>872</v>
      </c>
      <c r="H455" s="3" t="s">
        <v>941</v>
      </c>
      <c r="I455" s="3" t="s">
        <v>7043</v>
      </c>
      <c r="J455" s="3"/>
      <c r="K455" s="3"/>
      <c r="L455" s="5"/>
    </row>
    <row r="456" spans="1:12" ht="28.8" x14ac:dyDescent="0.55000000000000004">
      <c r="A456" s="9" t="str">
        <f>HYPERLINK("PDF\FOIA-FWS-2020-00724-0000455.pdf","FOIA-FWS-2020-00724-0000455")</f>
        <v>FOIA-FWS-2020-00724-0000455</v>
      </c>
      <c r="B456" s="3" t="s">
        <v>940</v>
      </c>
      <c r="C456" s="3" t="s">
        <v>234</v>
      </c>
      <c r="D456" s="3" t="s">
        <v>33</v>
      </c>
      <c r="E456" s="3" t="s">
        <v>943</v>
      </c>
      <c r="F456" s="4">
        <v>43392.811805555553</v>
      </c>
      <c r="G456" s="3"/>
      <c r="H456" s="3"/>
      <c r="I456" s="3" t="s">
        <v>7043</v>
      </c>
      <c r="J456" s="3"/>
      <c r="K456" s="3"/>
      <c r="L456" s="5"/>
    </row>
    <row r="457" spans="1:12" ht="28.8" x14ac:dyDescent="0.55000000000000004">
      <c r="A457" s="9" t="str">
        <f>HYPERLINK("PDF\FOIA-FWS-2020-00724-0000456.pdf","FOIA-FWS-2020-00724-0000456")</f>
        <v>FOIA-FWS-2020-00724-0000456</v>
      </c>
      <c r="B457" s="3" t="s">
        <v>944</v>
      </c>
      <c r="C457" s="3" t="s">
        <v>3</v>
      </c>
      <c r="D457" s="3" t="s">
        <v>33</v>
      </c>
      <c r="E457" s="3" t="s">
        <v>947</v>
      </c>
      <c r="F457" s="4">
        <v>43395.724305555559</v>
      </c>
      <c r="G457" s="3" t="s">
        <v>945</v>
      </c>
      <c r="H457" s="3" t="s">
        <v>946</v>
      </c>
      <c r="I457" s="3" t="s">
        <v>7043</v>
      </c>
      <c r="J457" s="3"/>
      <c r="K457" s="3"/>
      <c r="L457" s="5"/>
    </row>
    <row r="458" spans="1:12" ht="28.8" x14ac:dyDescent="0.55000000000000004">
      <c r="A458" s="9" t="str">
        <f>HYPERLINK("PDF\FOIA-FWS-2020-00724-0000457.pdf","FOIA-FWS-2020-00724-0000457")</f>
        <v>FOIA-FWS-2020-00724-0000457</v>
      </c>
      <c r="B458" s="3" t="s">
        <v>948</v>
      </c>
      <c r="C458" s="3" t="s">
        <v>3</v>
      </c>
      <c r="D458" s="3" t="s">
        <v>33</v>
      </c>
      <c r="E458" s="3" t="s">
        <v>949</v>
      </c>
      <c r="F458" s="4">
        <v>43397</v>
      </c>
      <c r="G458" s="3"/>
      <c r="H458" s="3"/>
      <c r="I458" s="3" t="s">
        <v>7043</v>
      </c>
      <c r="J458" s="3"/>
      <c r="K458" s="3"/>
      <c r="L458" s="5"/>
    </row>
    <row r="459" spans="1:12" ht="43.2" x14ac:dyDescent="0.55000000000000004">
      <c r="A459" s="9" t="str">
        <f>HYPERLINK("PDF\FOIA-FWS-2020-00724-0000458.pdf","FOIA-FWS-2020-00724-0000458")</f>
        <v>FOIA-FWS-2020-00724-0000458</v>
      </c>
      <c r="B459" s="3" t="s">
        <v>950</v>
      </c>
      <c r="C459" s="3" t="s">
        <v>3</v>
      </c>
      <c r="D459" s="3" t="s">
        <v>33</v>
      </c>
      <c r="E459" s="3" t="s">
        <v>952</v>
      </c>
      <c r="F459" s="4">
        <v>43397.57916666667</v>
      </c>
      <c r="G459" s="3" t="s">
        <v>861</v>
      </c>
      <c r="H459" s="3" t="s">
        <v>951</v>
      </c>
      <c r="I459" s="3" t="s">
        <v>7044</v>
      </c>
      <c r="J459" s="3" t="s">
        <v>7046</v>
      </c>
      <c r="K459" s="3" t="s">
        <v>7036</v>
      </c>
      <c r="L459" s="5"/>
    </row>
    <row r="460" spans="1:12" ht="28.8" x14ac:dyDescent="0.55000000000000004">
      <c r="A460" s="9" t="str">
        <f>HYPERLINK("PDF\FOIA-FWS-2020-00724-0000459.pdf","FOIA-FWS-2020-00724-0000459")</f>
        <v>FOIA-FWS-2020-00724-0000459</v>
      </c>
      <c r="B460" s="3" t="s">
        <v>950</v>
      </c>
      <c r="C460" s="3" t="s">
        <v>234</v>
      </c>
      <c r="D460" s="3" t="s">
        <v>33</v>
      </c>
      <c r="E460" s="3" t="s">
        <v>953</v>
      </c>
      <c r="F460" s="4">
        <v>43397.57916666667</v>
      </c>
      <c r="G460" s="3"/>
      <c r="H460" s="3"/>
      <c r="I460" s="3" t="s">
        <v>7043</v>
      </c>
      <c r="J460" s="3"/>
      <c r="K460" s="3"/>
      <c r="L460" s="5"/>
    </row>
    <row r="461" spans="1:12" ht="43.2" x14ac:dyDescent="0.55000000000000004">
      <c r="A461" s="9" t="str">
        <f>HYPERLINK("PDF\FOIA-FWS-2020-00724-0000460.pdf","FOIA-FWS-2020-00724-0000460")</f>
        <v>FOIA-FWS-2020-00724-0000460</v>
      </c>
      <c r="B461" s="3" t="s">
        <v>954</v>
      </c>
      <c r="C461" s="3" t="s">
        <v>3</v>
      </c>
      <c r="D461" s="3" t="s">
        <v>33</v>
      </c>
      <c r="E461" s="3" t="s">
        <v>956</v>
      </c>
      <c r="F461" s="4">
        <v>43397.595138888886</v>
      </c>
      <c r="G461" s="3" t="s">
        <v>955</v>
      </c>
      <c r="H461" s="3" t="s">
        <v>861</v>
      </c>
      <c r="I461" s="3" t="s">
        <v>7044</v>
      </c>
      <c r="J461" s="3" t="s">
        <v>7046</v>
      </c>
      <c r="K461" s="3" t="s">
        <v>7036</v>
      </c>
      <c r="L461" s="5"/>
    </row>
    <row r="462" spans="1:12" ht="28.8" x14ac:dyDescent="0.55000000000000004">
      <c r="A462" s="9" t="str">
        <f>HYPERLINK("PDF\FOIA-FWS-2020-00724-0000461.pdf","FOIA-FWS-2020-00724-0000461")</f>
        <v>FOIA-FWS-2020-00724-0000461</v>
      </c>
      <c r="B462" s="3" t="s">
        <v>957</v>
      </c>
      <c r="C462" s="3" t="s">
        <v>3</v>
      </c>
      <c r="D462" s="3" t="s">
        <v>33</v>
      </c>
      <c r="E462" s="3" t="s">
        <v>958</v>
      </c>
      <c r="F462" s="4">
        <v>43397.660416666666</v>
      </c>
      <c r="G462" s="3" t="s">
        <v>861</v>
      </c>
      <c r="H462" s="3" t="s">
        <v>945</v>
      </c>
      <c r="I462" s="3" t="s">
        <v>7047</v>
      </c>
      <c r="J462" s="3" t="s">
        <v>7046</v>
      </c>
      <c r="K462" s="3" t="s">
        <v>7036</v>
      </c>
      <c r="L462" s="5"/>
    </row>
    <row r="463" spans="1:12" ht="28.8" x14ac:dyDescent="0.55000000000000004">
      <c r="A463" s="9" t="str">
        <f>HYPERLINK("PDF\FOIA-FWS-2020-00724-0000462.pdf","FOIA-FWS-2020-00724-0000462")</f>
        <v>FOIA-FWS-2020-00724-0000462</v>
      </c>
      <c r="B463" s="3" t="s">
        <v>959</v>
      </c>
      <c r="C463" s="3" t="s">
        <v>3</v>
      </c>
      <c r="D463" s="3" t="s">
        <v>33</v>
      </c>
      <c r="E463" s="3" t="s">
        <v>939</v>
      </c>
      <c r="F463" s="4">
        <v>43397.823611111111</v>
      </c>
      <c r="G463" s="3" t="s">
        <v>938</v>
      </c>
      <c r="H463" s="3" t="s">
        <v>872</v>
      </c>
      <c r="I463" s="3" t="s">
        <v>7043</v>
      </c>
      <c r="J463" s="3"/>
      <c r="K463" s="3"/>
      <c r="L463" s="5"/>
    </row>
    <row r="464" spans="1:12" ht="28.8" x14ac:dyDescent="0.55000000000000004">
      <c r="A464" s="9" t="str">
        <f>HYPERLINK("PDF\FOIA-FWS-2020-00724-0000463.pdf","FOIA-FWS-2020-00724-0000463")</f>
        <v>FOIA-FWS-2020-00724-0000463</v>
      </c>
      <c r="B464" s="3" t="s">
        <v>960</v>
      </c>
      <c r="C464" s="3" t="s">
        <v>3</v>
      </c>
      <c r="D464" s="3" t="s">
        <v>33</v>
      </c>
      <c r="E464" s="3" t="s">
        <v>961</v>
      </c>
      <c r="F464" s="4">
        <v>43398.433333333334</v>
      </c>
      <c r="G464" s="3" t="s">
        <v>938</v>
      </c>
      <c r="H464" s="3" t="s">
        <v>872</v>
      </c>
      <c r="I464" s="3" t="s">
        <v>7043</v>
      </c>
      <c r="J464" s="3"/>
      <c r="K464" s="3"/>
      <c r="L464" s="5"/>
    </row>
    <row r="465" spans="1:12" ht="28.8" x14ac:dyDescent="0.55000000000000004">
      <c r="A465" s="9" t="str">
        <f>HYPERLINK("PDF\FOIA-FWS-2020-00724-0000464.pdf","FOIA-FWS-2020-00724-0000464")</f>
        <v>FOIA-FWS-2020-00724-0000464</v>
      </c>
      <c r="B465" s="3" t="s">
        <v>962</v>
      </c>
      <c r="C465" s="3" t="s">
        <v>3</v>
      </c>
      <c r="D465" s="3" t="s">
        <v>33</v>
      </c>
      <c r="E465" s="3" t="s">
        <v>965</v>
      </c>
      <c r="F465" s="4">
        <v>43398.482638888891</v>
      </c>
      <c r="G465" s="3" t="s">
        <v>963</v>
      </c>
      <c r="H465" s="3" t="s">
        <v>964</v>
      </c>
      <c r="I465" s="3" t="s">
        <v>7043</v>
      </c>
      <c r="J465" s="3"/>
      <c r="K465" s="3"/>
      <c r="L465" s="5"/>
    </row>
    <row r="466" spans="1:12" ht="28.8" x14ac:dyDescent="0.55000000000000004">
      <c r="A466" s="9" t="str">
        <f>HYPERLINK("PDF\FOIA-FWS-2020-00724-0000465.pdf","FOIA-FWS-2020-00724-0000465")</f>
        <v>FOIA-FWS-2020-00724-0000465</v>
      </c>
      <c r="B466" s="3" t="s">
        <v>962</v>
      </c>
      <c r="C466" s="3" t="s">
        <v>234</v>
      </c>
      <c r="D466" s="3" t="s">
        <v>33</v>
      </c>
      <c r="E466" s="3" t="s">
        <v>966</v>
      </c>
      <c r="F466" s="4">
        <v>43398.482638888891</v>
      </c>
      <c r="G466" s="3"/>
      <c r="H466" s="3"/>
      <c r="I466" s="3" t="s">
        <v>7043</v>
      </c>
      <c r="J466" s="3"/>
      <c r="K466" s="3"/>
      <c r="L466" s="5"/>
    </row>
    <row r="467" spans="1:12" ht="28.8" x14ac:dyDescent="0.55000000000000004">
      <c r="A467" s="9" t="str">
        <f>HYPERLINK("PDF\FOIA-FWS-2020-00724-0000466.pdf","FOIA-FWS-2020-00724-0000466")</f>
        <v>FOIA-FWS-2020-00724-0000466</v>
      </c>
      <c r="B467" s="3" t="s">
        <v>962</v>
      </c>
      <c r="C467" s="3" t="s">
        <v>234</v>
      </c>
      <c r="D467" s="3" t="s">
        <v>33</v>
      </c>
      <c r="E467" s="3" t="s">
        <v>967</v>
      </c>
      <c r="F467" s="4">
        <v>43398.482638888891</v>
      </c>
      <c r="G467" s="3"/>
      <c r="H467" s="3"/>
      <c r="I467" s="3" t="s">
        <v>7043</v>
      </c>
      <c r="J467" s="3"/>
      <c r="K467" s="3"/>
      <c r="L467" s="5"/>
    </row>
    <row r="468" spans="1:12" ht="28.8" x14ac:dyDescent="0.55000000000000004">
      <c r="A468" s="9" t="str">
        <f>HYPERLINK("PDF\FOIA-FWS-2020-00724-0000467.pdf","FOIA-FWS-2020-00724-0000467")</f>
        <v>FOIA-FWS-2020-00724-0000467</v>
      </c>
      <c r="B468" s="3" t="s">
        <v>968</v>
      </c>
      <c r="C468" s="3" t="s">
        <v>3</v>
      </c>
      <c r="D468" s="3" t="s">
        <v>33</v>
      </c>
      <c r="E468" s="3" t="s">
        <v>969</v>
      </c>
      <c r="F468" s="4">
        <v>43398.775694444441</v>
      </c>
      <c r="G468" s="3" t="s">
        <v>963</v>
      </c>
      <c r="H468" s="3" t="s">
        <v>945</v>
      </c>
      <c r="I468" s="3" t="s">
        <v>7047</v>
      </c>
      <c r="J468" s="3" t="s">
        <v>7046</v>
      </c>
      <c r="K468" s="3" t="s">
        <v>7036</v>
      </c>
      <c r="L468" s="5"/>
    </row>
    <row r="469" spans="1:12" ht="28.8" x14ac:dyDescent="0.55000000000000004">
      <c r="A469" s="9" t="str">
        <f>HYPERLINK("PDF\FOIA-FWS-2020-00724-0000468.pdf","FOIA-FWS-2020-00724-0000468")</f>
        <v>FOIA-FWS-2020-00724-0000468</v>
      </c>
      <c r="B469" s="3" t="s">
        <v>970</v>
      </c>
      <c r="C469" s="3" t="s">
        <v>3</v>
      </c>
      <c r="D469" s="3" t="s">
        <v>33</v>
      </c>
      <c r="E469" s="3" t="s">
        <v>971</v>
      </c>
      <c r="F469" s="4">
        <v>43403.538888888892</v>
      </c>
      <c r="G469" s="3" t="s">
        <v>963</v>
      </c>
      <c r="H469" s="3" t="s">
        <v>852</v>
      </c>
      <c r="I469" s="3" t="s">
        <v>7043</v>
      </c>
      <c r="J469" s="3"/>
      <c r="K469" s="3"/>
      <c r="L469" s="5"/>
    </row>
    <row r="470" spans="1:12" ht="28.8" x14ac:dyDescent="0.55000000000000004">
      <c r="A470" s="9" t="str">
        <f>HYPERLINK("PDF\FOIA-FWS-2020-00724-0000469.pdf","FOIA-FWS-2020-00724-0000469")</f>
        <v>FOIA-FWS-2020-00724-0000469</v>
      </c>
      <c r="B470" s="3" t="s">
        <v>970</v>
      </c>
      <c r="C470" s="3" t="s">
        <v>234</v>
      </c>
      <c r="D470" s="3" t="s">
        <v>33</v>
      </c>
      <c r="E470" s="3" t="s">
        <v>972</v>
      </c>
      <c r="F470" s="4">
        <v>43403.538888888892</v>
      </c>
      <c r="G470" s="3"/>
      <c r="H470" s="3"/>
      <c r="I470" s="3" t="s">
        <v>7043</v>
      </c>
      <c r="J470" s="3"/>
      <c r="K470" s="3"/>
      <c r="L470" s="5"/>
    </row>
    <row r="471" spans="1:12" ht="28.8" x14ac:dyDescent="0.55000000000000004">
      <c r="A471" s="9" t="str">
        <f>HYPERLINK("PDF\FOIA-FWS-2020-00724-0000470.pdf","FOIA-FWS-2020-00724-0000470")</f>
        <v>FOIA-FWS-2020-00724-0000470</v>
      </c>
      <c r="B471" s="3" t="s">
        <v>973</v>
      </c>
      <c r="C471" s="3" t="s">
        <v>3</v>
      </c>
      <c r="D471" s="3" t="s">
        <v>33</v>
      </c>
      <c r="E471" s="3" t="s">
        <v>974</v>
      </c>
      <c r="F471" s="4">
        <v>43403.681250000001</v>
      </c>
      <c r="G471" s="3" t="s">
        <v>592</v>
      </c>
      <c r="H471" s="3" t="s">
        <v>785</v>
      </c>
      <c r="I471" s="3" t="s">
        <v>7043</v>
      </c>
      <c r="J471" s="3"/>
      <c r="K471" s="3"/>
      <c r="L471" s="5"/>
    </row>
    <row r="472" spans="1:12" ht="28.8" x14ac:dyDescent="0.55000000000000004">
      <c r="A472" s="9" t="str">
        <f>HYPERLINK("PDF\FOIA-FWS-2020-00724-0000471.pdf","FOIA-FWS-2020-00724-0000471")</f>
        <v>FOIA-FWS-2020-00724-0000471</v>
      </c>
      <c r="B472" s="3" t="s">
        <v>973</v>
      </c>
      <c r="C472" s="3" t="s">
        <v>234</v>
      </c>
      <c r="D472" s="3" t="s">
        <v>4</v>
      </c>
      <c r="E472" s="3" t="s">
        <v>975</v>
      </c>
      <c r="F472" s="4">
        <v>43403.681250000001</v>
      </c>
      <c r="G472" s="3"/>
      <c r="H472" s="3"/>
      <c r="I472" s="3" t="s">
        <v>7043</v>
      </c>
      <c r="J472" s="3"/>
      <c r="K472" s="3"/>
      <c r="L472" s="5"/>
    </row>
    <row r="473" spans="1:12" ht="28.8" x14ac:dyDescent="0.55000000000000004">
      <c r="A473" s="9" t="str">
        <f>HYPERLINK("PDF\FOIA-FWS-2020-00724-0000472.pdf","FOIA-FWS-2020-00724-0000472")</f>
        <v>FOIA-FWS-2020-00724-0000472</v>
      </c>
      <c r="B473" s="3" t="s">
        <v>976</v>
      </c>
      <c r="C473" s="3" t="s">
        <v>3</v>
      </c>
      <c r="D473" s="3" t="s">
        <v>33</v>
      </c>
      <c r="E473" s="3" t="s">
        <v>978</v>
      </c>
      <c r="F473" s="4">
        <v>43403.765972222223</v>
      </c>
      <c r="G473" s="3" t="s">
        <v>945</v>
      </c>
      <c r="H473" s="3" t="s">
        <v>977</v>
      </c>
      <c r="I473" s="3" t="s">
        <v>7043</v>
      </c>
      <c r="J473" s="3"/>
      <c r="K473" s="3"/>
      <c r="L473" s="5"/>
    </row>
    <row r="474" spans="1:12" ht="43.2" x14ac:dyDescent="0.55000000000000004">
      <c r="A474" s="9" t="str">
        <f>HYPERLINK("PDF\FOIA-FWS-2020-00724-0000473.pdf","FOIA-FWS-2020-00724-0000473")</f>
        <v>FOIA-FWS-2020-00724-0000473</v>
      </c>
      <c r="B474" s="3" t="s">
        <v>976</v>
      </c>
      <c r="C474" s="3" t="s">
        <v>234</v>
      </c>
      <c r="D474" s="3" t="s">
        <v>33</v>
      </c>
      <c r="E474" s="3" t="s">
        <v>979</v>
      </c>
      <c r="F474" s="4">
        <v>43403.765972222223</v>
      </c>
      <c r="G474" s="3"/>
      <c r="H474" s="3"/>
      <c r="I474" s="3" t="s">
        <v>7044</v>
      </c>
      <c r="J474" s="3" t="s">
        <v>7046</v>
      </c>
      <c r="K474" s="3" t="s">
        <v>7036</v>
      </c>
      <c r="L474" s="5"/>
    </row>
    <row r="475" spans="1:12" ht="28.8" x14ac:dyDescent="0.55000000000000004">
      <c r="A475" s="9" t="str">
        <f>HYPERLINK("PDF\FOIA-FWS-2020-00724-0000474.pdf","FOIA-FWS-2020-00724-0000474")</f>
        <v>FOIA-FWS-2020-00724-0000474</v>
      </c>
      <c r="B475" s="3" t="s">
        <v>980</v>
      </c>
      <c r="C475" s="3" t="s">
        <v>3</v>
      </c>
      <c r="D475" s="3" t="s">
        <v>33</v>
      </c>
      <c r="E475" s="3" t="s">
        <v>981</v>
      </c>
      <c r="F475" s="4">
        <v>43404</v>
      </c>
      <c r="G475" s="3"/>
      <c r="H475" s="3"/>
      <c r="I475" s="3" t="s">
        <v>7043</v>
      </c>
      <c r="J475" s="3"/>
      <c r="K475" s="3"/>
      <c r="L475" s="5"/>
    </row>
    <row r="476" spans="1:12" ht="115.2" x14ac:dyDescent="0.55000000000000004">
      <c r="A476" s="9" t="str">
        <f>HYPERLINK("PDF\FOIA-FWS-2020-00724-0000475.pdf","FOIA-FWS-2020-00724-0000475")</f>
        <v>FOIA-FWS-2020-00724-0000475</v>
      </c>
      <c r="B476" s="3" t="s">
        <v>982</v>
      </c>
      <c r="C476" s="3" t="s">
        <v>3</v>
      </c>
      <c r="D476" s="3" t="s">
        <v>160</v>
      </c>
      <c r="E476" s="3" t="s">
        <v>983</v>
      </c>
      <c r="F476" s="4">
        <v>43404</v>
      </c>
      <c r="G476" s="3"/>
      <c r="H476" s="3"/>
      <c r="I476" s="3" t="s">
        <v>7043</v>
      </c>
      <c r="J476" s="3"/>
      <c r="K476" s="3"/>
      <c r="L476" s="5"/>
    </row>
    <row r="477" spans="1:12" ht="28.8" x14ac:dyDescent="0.55000000000000004">
      <c r="A477" s="9" t="str">
        <f>HYPERLINK("PDF\FOIA-FWS-2020-00724-0000476.pdf","FOIA-FWS-2020-00724-0000476")</f>
        <v>FOIA-FWS-2020-00724-0000476</v>
      </c>
      <c r="B477" s="3" t="s">
        <v>984</v>
      </c>
      <c r="C477" s="3" t="s">
        <v>3</v>
      </c>
      <c r="D477" s="3" t="s">
        <v>33</v>
      </c>
      <c r="E477" s="3" t="s">
        <v>986</v>
      </c>
      <c r="F477" s="4">
        <v>43404.480555555558</v>
      </c>
      <c r="G477" s="3" t="s">
        <v>861</v>
      </c>
      <c r="H477" s="3" t="s">
        <v>985</v>
      </c>
      <c r="I477" s="3" t="s">
        <v>7043</v>
      </c>
      <c r="J477" s="3"/>
      <c r="K477" s="3"/>
      <c r="L477" s="5"/>
    </row>
    <row r="478" spans="1:12" ht="28.8" x14ac:dyDescent="0.55000000000000004">
      <c r="A478" s="9" t="str">
        <f>HYPERLINK("PDF\FOIA-FWS-2020-00724-0000477.pdf","FOIA-FWS-2020-00724-0000477")</f>
        <v>FOIA-FWS-2020-00724-0000477</v>
      </c>
      <c r="B478" s="3" t="s">
        <v>987</v>
      </c>
      <c r="C478" s="3" t="s">
        <v>3</v>
      </c>
      <c r="D478" s="3" t="s">
        <v>33</v>
      </c>
      <c r="E478" s="3" t="s">
        <v>986</v>
      </c>
      <c r="F478" s="4">
        <v>43404.560416666667</v>
      </c>
      <c r="G478" s="3" t="s">
        <v>861</v>
      </c>
      <c r="H478" s="3" t="s">
        <v>988</v>
      </c>
      <c r="I478" s="3" t="s">
        <v>7043</v>
      </c>
      <c r="J478" s="3"/>
      <c r="K478" s="3"/>
      <c r="L478" s="5"/>
    </row>
    <row r="479" spans="1:12" ht="28.8" x14ac:dyDescent="0.55000000000000004">
      <c r="A479" s="9" t="str">
        <f>HYPERLINK("PDF\FOIA-FWS-2020-00724-0000478.pdf","FOIA-FWS-2020-00724-0000478")</f>
        <v>FOIA-FWS-2020-00724-0000478</v>
      </c>
      <c r="B479" s="3" t="s">
        <v>989</v>
      </c>
      <c r="C479" s="3" t="s">
        <v>3</v>
      </c>
      <c r="D479" s="3" t="s">
        <v>33</v>
      </c>
      <c r="E479" s="3" t="s">
        <v>990</v>
      </c>
      <c r="F479" s="4">
        <v>43404.611805555556</v>
      </c>
      <c r="G479" s="3" t="s">
        <v>963</v>
      </c>
      <c r="H479" s="3" t="s">
        <v>945</v>
      </c>
      <c r="I479" s="3" t="s">
        <v>7043</v>
      </c>
      <c r="J479" s="3"/>
      <c r="K479" s="3"/>
      <c r="L479" s="5"/>
    </row>
    <row r="480" spans="1:12" ht="28.8" x14ac:dyDescent="0.55000000000000004">
      <c r="A480" s="9" t="str">
        <f>HYPERLINK("PDF\FOIA-FWS-2020-00724-0000479.pdf","FOIA-FWS-2020-00724-0000479")</f>
        <v>FOIA-FWS-2020-00724-0000479</v>
      </c>
      <c r="B480" s="3" t="s">
        <v>989</v>
      </c>
      <c r="C480" s="3" t="s">
        <v>234</v>
      </c>
      <c r="D480" s="3" t="s">
        <v>33</v>
      </c>
      <c r="E480" s="3" t="s">
        <v>993</v>
      </c>
      <c r="F480" s="4">
        <v>43404.611805555556</v>
      </c>
      <c r="G480" s="3" t="s">
        <v>991</v>
      </c>
      <c r="H480" s="3" t="s">
        <v>992</v>
      </c>
      <c r="I480" s="3" t="s">
        <v>7043</v>
      </c>
      <c r="J480" s="3"/>
      <c r="K480" s="3"/>
      <c r="L480" s="5"/>
    </row>
    <row r="481" spans="1:12" ht="28.8" x14ac:dyDescent="0.55000000000000004">
      <c r="A481" s="9" t="str">
        <f>HYPERLINK("PDF\FOIA-FWS-2020-00724-0000480.pdf","FOIA-FWS-2020-00724-0000480")</f>
        <v>FOIA-FWS-2020-00724-0000480</v>
      </c>
      <c r="B481" s="3" t="s">
        <v>989</v>
      </c>
      <c r="C481" s="3" t="s">
        <v>234</v>
      </c>
      <c r="D481" s="3" t="s">
        <v>33</v>
      </c>
      <c r="E481" s="3" t="s">
        <v>994</v>
      </c>
      <c r="F481" s="4">
        <v>43404.611805555556</v>
      </c>
      <c r="G481" s="3"/>
      <c r="H481" s="3"/>
      <c r="I481" s="3" t="s">
        <v>7043</v>
      </c>
      <c r="J481" s="3"/>
      <c r="K481" s="3"/>
      <c r="L481" s="5"/>
    </row>
    <row r="482" spans="1:12" ht="28.8" x14ac:dyDescent="0.55000000000000004">
      <c r="A482" s="9" t="str">
        <f>HYPERLINK("PDF\FOIA-FWS-2020-00724-0000481.pdf","FOIA-FWS-2020-00724-0000481")</f>
        <v>FOIA-FWS-2020-00724-0000481</v>
      </c>
      <c r="B482" s="3" t="s">
        <v>989</v>
      </c>
      <c r="C482" s="3" t="s">
        <v>234</v>
      </c>
      <c r="D482" s="3" t="s">
        <v>33</v>
      </c>
      <c r="E482" s="3" t="s">
        <v>995</v>
      </c>
      <c r="F482" s="4">
        <v>43404.611805555556</v>
      </c>
      <c r="G482" s="3"/>
      <c r="H482" s="3"/>
      <c r="I482" s="3" t="s">
        <v>7043</v>
      </c>
      <c r="J482" s="3"/>
      <c r="K482" s="3"/>
      <c r="L482" s="5"/>
    </row>
    <row r="483" spans="1:12" ht="28.8" x14ac:dyDescent="0.55000000000000004">
      <c r="A483" t="s">
        <v>996</v>
      </c>
      <c r="B483" s="3" t="s">
        <v>989</v>
      </c>
      <c r="C483" s="3" t="s">
        <v>234</v>
      </c>
      <c r="D483" s="3" t="s">
        <v>33</v>
      </c>
      <c r="E483" s="3" t="s">
        <v>997</v>
      </c>
      <c r="F483" s="4">
        <v>43404.611805555556</v>
      </c>
      <c r="G483" s="3"/>
      <c r="H483" s="3"/>
      <c r="I483" s="3" t="s">
        <v>7047</v>
      </c>
      <c r="J483" s="3" t="s">
        <v>7046</v>
      </c>
      <c r="K483" s="3"/>
      <c r="L483" s="5"/>
    </row>
    <row r="484" spans="1:12" ht="28.8" x14ac:dyDescent="0.55000000000000004">
      <c r="A484" s="9" t="str">
        <f>HYPERLINK("PDF\FOIA-FWS-2020-00724-0000483.pdf","FOIA-FWS-2020-00724-0000483")</f>
        <v>FOIA-FWS-2020-00724-0000483</v>
      </c>
      <c r="B484" s="3" t="s">
        <v>989</v>
      </c>
      <c r="C484" s="3" t="s">
        <v>234</v>
      </c>
      <c r="D484" s="3" t="s">
        <v>33</v>
      </c>
      <c r="E484" s="3" t="s">
        <v>998</v>
      </c>
      <c r="F484" s="4">
        <v>43404.611805555556</v>
      </c>
      <c r="G484" s="3"/>
      <c r="H484" s="3"/>
      <c r="I484" s="3" t="s">
        <v>7043</v>
      </c>
      <c r="J484" s="3"/>
      <c r="K484" s="3"/>
      <c r="L484" s="5"/>
    </row>
    <row r="485" spans="1:12" ht="28.8" x14ac:dyDescent="0.55000000000000004">
      <c r="A485" s="9" t="str">
        <f>HYPERLINK("PDF\FOIA-FWS-2020-00724-0000484.pdf","FOIA-FWS-2020-00724-0000484")</f>
        <v>FOIA-FWS-2020-00724-0000484</v>
      </c>
      <c r="B485" s="3" t="s">
        <v>999</v>
      </c>
      <c r="C485" s="3" t="s">
        <v>3</v>
      </c>
      <c r="D485" s="3" t="s">
        <v>33</v>
      </c>
      <c r="E485" s="3" t="s">
        <v>1001</v>
      </c>
      <c r="F485" s="4">
        <v>43405.63958333333</v>
      </c>
      <c r="G485" s="3" t="s">
        <v>885</v>
      </c>
      <c r="H485" s="3" t="s">
        <v>1000</v>
      </c>
      <c r="I485" s="3" t="s">
        <v>7043</v>
      </c>
      <c r="J485" s="3"/>
      <c r="K485" s="3"/>
      <c r="L485" s="5"/>
    </row>
    <row r="486" spans="1:12" ht="28.8" x14ac:dyDescent="0.55000000000000004">
      <c r="A486" s="9" t="str">
        <f>HYPERLINK("PDF\FOIA-FWS-2020-00724-0000485.pdf","FOIA-FWS-2020-00724-0000485")</f>
        <v>FOIA-FWS-2020-00724-0000485</v>
      </c>
      <c r="B486" s="3" t="s">
        <v>1002</v>
      </c>
      <c r="C486" s="3" t="s">
        <v>3</v>
      </c>
      <c r="D486" s="3" t="s">
        <v>33</v>
      </c>
      <c r="E486" s="3" t="s">
        <v>1004</v>
      </c>
      <c r="F486" s="4">
        <v>43405.732638888891</v>
      </c>
      <c r="G486" s="3" t="s">
        <v>985</v>
      </c>
      <c r="H486" s="3" t="s">
        <v>1003</v>
      </c>
      <c r="I486" s="3" t="s">
        <v>7043</v>
      </c>
      <c r="J486" s="3"/>
      <c r="K486" s="3"/>
      <c r="L486" s="5"/>
    </row>
    <row r="487" spans="1:12" ht="28.8" x14ac:dyDescent="0.55000000000000004">
      <c r="A487" s="9" t="str">
        <f>HYPERLINK("PDF\FOIA-FWS-2020-00724-0000486.pdf","FOIA-FWS-2020-00724-0000486")</f>
        <v>FOIA-FWS-2020-00724-0000486</v>
      </c>
      <c r="B487" s="3" t="s">
        <v>1005</v>
      </c>
      <c r="C487" s="3" t="s">
        <v>3</v>
      </c>
      <c r="D487" s="3" t="s">
        <v>33</v>
      </c>
      <c r="E487" s="3" t="s">
        <v>1007</v>
      </c>
      <c r="F487" s="4">
        <v>43405.739583333336</v>
      </c>
      <c r="G487" s="3" t="s">
        <v>963</v>
      </c>
      <c r="H487" s="3" t="s">
        <v>1006</v>
      </c>
      <c r="I487" s="3" t="s">
        <v>7043</v>
      </c>
      <c r="J487" s="3"/>
      <c r="K487" s="3"/>
      <c r="L487" s="5"/>
    </row>
    <row r="488" spans="1:12" ht="28.8" x14ac:dyDescent="0.55000000000000004">
      <c r="A488" s="9" t="str">
        <f>HYPERLINK("PDF\FOIA-FWS-2020-00724-0000487.pdf","FOIA-FWS-2020-00724-0000487")</f>
        <v>FOIA-FWS-2020-00724-0000487</v>
      </c>
      <c r="B488" s="3" t="s">
        <v>1005</v>
      </c>
      <c r="C488" s="3" t="s">
        <v>234</v>
      </c>
      <c r="D488" s="3" t="s">
        <v>33</v>
      </c>
      <c r="E488" s="3" t="s">
        <v>1008</v>
      </c>
      <c r="F488" s="4">
        <v>43405.739583333336</v>
      </c>
      <c r="G488" s="3"/>
      <c r="H488" s="3"/>
      <c r="I488" s="3" t="s">
        <v>7043</v>
      </c>
      <c r="J488" s="3"/>
      <c r="K488" s="3"/>
      <c r="L488" s="5"/>
    </row>
    <row r="489" spans="1:12" ht="28.8" x14ac:dyDescent="0.55000000000000004">
      <c r="A489" s="9" t="str">
        <f>HYPERLINK("PDF\FOIA-FWS-2020-00724-0000488.pdf","FOIA-FWS-2020-00724-0000488")</f>
        <v>FOIA-FWS-2020-00724-0000488</v>
      </c>
      <c r="B489" s="3" t="s">
        <v>1009</v>
      </c>
      <c r="C489" s="3" t="s">
        <v>3</v>
      </c>
      <c r="D489" s="3" t="s">
        <v>33</v>
      </c>
      <c r="E489" s="3" t="s">
        <v>1010</v>
      </c>
      <c r="F489" s="4">
        <v>43405.758333333331</v>
      </c>
      <c r="G489" s="3" t="s">
        <v>861</v>
      </c>
      <c r="H489" s="3" t="s">
        <v>963</v>
      </c>
      <c r="I489" s="3" t="s">
        <v>7043</v>
      </c>
      <c r="J489" s="3"/>
      <c r="K489" s="3"/>
      <c r="L489" s="5"/>
    </row>
    <row r="490" spans="1:12" ht="28.8" x14ac:dyDescent="0.55000000000000004">
      <c r="A490" s="9" t="str">
        <f>HYPERLINK("PDF\FOIA-FWS-2020-00724-0000489.pdf","FOIA-FWS-2020-00724-0000489")</f>
        <v>FOIA-FWS-2020-00724-0000489</v>
      </c>
      <c r="B490" s="3" t="s">
        <v>1009</v>
      </c>
      <c r="C490" s="3" t="s">
        <v>234</v>
      </c>
      <c r="D490" s="3" t="s">
        <v>33</v>
      </c>
      <c r="E490" s="3" t="s">
        <v>1008</v>
      </c>
      <c r="F490" s="4">
        <v>43405.758333333331</v>
      </c>
      <c r="G490" s="3"/>
      <c r="H490" s="3"/>
      <c r="I490" s="3" t="s">
        <v>7043</v>
      </c>
      <c r="J490" s="3"/>
      <c r="K490" s="3"/>
      <c r="L490" s="5"/>
    </row>
    <row r="491" spans="1:12" ht="28.8" x14ac:dyDescent="0.55000000000000004">
      <c r="A491" s="9" t="str">
        <f>HYPERLINK("PDF\FOIA-FWS-2020-00724-0000490.pdf","FOIA-FWS-2020-00724-0000490")</f>
        <v>FOIA-FWS-2020-00724-0000490</v>
      </c>
      <c r="B491" s="3" t="s">
        <v>1011</v>
      </c>
      <c r="C491" s="3" t="s">
        <v>3</v>
      </c>
      <c r="D491" s="3" t="s">
        <v>33</v>
      </c>
      <c r="E491" s="3" t="s">
        <v>1010</v>
      </c>
      <c r="F491" s="4">
        <v>43405.790972222225</v>
      </c>
      <c r="G491" s="3" t="s">
        <v>1012</v>
      </c>
      <c r="H491" s="3" t="s">
        <v>963</v>
      </c>
      <c r="I491" s="3" t="s">
        <v>7043</v>
      </c>
      <c r="J491" s="3"/>
      <c r="K491" s="3"/>
      <c r="L491" s="5"/>
    </row>
    <row r="492" spans="1:12" ht="28.8" x14ac:dyDescent="0.55000000000000004">
      <c r="A492" s="9" t="str">
        <f>HYPERLINK("PDF\FOIA-FWS-2020-00724-0000491.pdf","FOIA-FWS-2020-00724-0000491")</f>
        <v>FOIA-FWS-2020-00724-0000491</v>
      </c>
      <c r="B492" s="3" t="s">
        <v>1011</v>
      </c>
      <c r="C492" s="3" t="s">
        <v>234</v>
      </c>
      <c r="D492" s="3" t="s">
        <v>33</v>
      </c>
      <c r="E492" s="3" t="s">
        <v>1013</v>
      </c>
      <c r="F492" s="4">
        <v>43405.790972222225</v>
      </c>
      <c r="G492" s="3"/>
      <c r="H492" s="3"/>
      <c r="I492" s="3" t="s">
        <v>7043</v>
      </c>
      <c r="J492" s="3"/>
      <c r="K492" s="3"/>
      <c r="L492" s="5"/>
    </row>
    <row r="493" spans="1:12" ht="28.8" x14ac:dyDescent="0.55000000000000004">
      <c r="A493" s="9" t="str">
        <f>HYPERLINK("PDF\FOIA-FWS-2020-00724-0000492.pdf","FOIA-FWS-2020-00724-0000492")</f>
        <v>FOIA-FWS-2020-00724-0000492</v>
      </c>
      <c r="B493" s="3" t="s">
        <v>1014</v>
      </c>
      <c r="C493" s="3" t="s">
        <v>3</v>
      </c>
      <c r="D493" s="3" t="s">
        <v>33</v>
      </c>
      <c r="E493" s="3" t="s">
        <v>1015</v>
      </c>
      <c r="F493" s="4">
        <v>43405.813194444447</v>
      </c>
      <c r="G493" s="3" t="s">
        <v>955</v>
      </c>
      <c r="H493" s="3" t="s">
        <v>861</v>
      </c>
      <c r="I493" s="3" t="s">
        <v>7043</v>
      </c>
      <c r="J493" s="3"/>
      <c r="K493" s="3"/>
      <c r="L493" s="5"/>
    </row>
    <row r="494" spans="1:12" ht="28.8" x14ac:dyDescent="0.55000000000000004">
      <c r="A494" s="9" t="str">
        <f>HYPERLINK("PDF\FOIA-FWS-2020-00724-0000493.pdf","FOIA-FWS-2020-00724-0000493")</f>
        <v>FOIA-FWS-2020-00724-0000493</v>
      </c>
      <c r="B494" s="3" t="s">
        <v>1014</v>
      </c>
      <c r="C494" s="3" t="s">
        <v>234</v>
      </c>
      <c r="D494" s="3" t="s">
        <v>33</v>
      </c>
      <c r="E494" s="3" t="s">
        <v>1016</v>
      </c>
      <c r="F494" s="4">
        <v>43405.813194444447</v>
      </c>
      <c r="G494" s="3"/>
      <c r="H494" s="3"/>
      <c r="I494" s="3" t="s">
        <v>7043</v>
      </c>
      <c r="J494" s="3"/>
      <c r="K494" s="3"/>
      <c r="L494" s="5"/>
    </row>
    <row r="495" spans="1:12" ht="28.8" x14ac:dyDescent="0.55000000000000004">
      <c r="A495" s="9" t="str">
        <f>HYPERLINK("PDF\FOIA-FWS-2020-00724-0000494.pdf","FOIA-FWS-2020-00724-0000494")</f>
        <v>FOIA-FWS-2020-00724-0000494</v>
      </c>
      <c r="B495" s="3" t="s">
        <v>1017</v>
      </c>
      <c r="C495" s="3" t="s">
        <v>3</v>
      </c>
      <c r="D495" s="3" t="s">
        <v>33</v>
      </c>
      <c r="E495" s="3" t="s">
        <v>1010</v>
      </c>
      <c r="F495" s="4">
        <v>43405.819444444445</v>
      </c>
      <c r="G495" s="3" t="s">
        <v>861</v>
      </c>
      <c r="H495" s="3" t="s">
        <v>963</v>
      </c>
      <c r="I495" s="3" t="s">
        <v>7043</v>
      </c>
      <c r="J495" s="3"/>
      <c r="K495" s="3"/>
      <c r="L495" s="5"/>
    </row>
    <row r="496" spans="1:12" ht="28.8" x14ac:dyDescent="0.55000000000000004">
      <c r="A496" s="9" t="str">
        <f>HYPERLINK("PDF\FOIA-FWS-2020-00724-0000495.pdf","FOIA-FWS-2020-00724-0000495")</f>
        <v>FOIA-FWS-2020-00724-0000495</v>
      </c>
      <c r="B496" s="3" t="s">
        <v>1017</v>
      </c>
      <c r="C496" s="3" t="s">
        <v>234</v>
      </c>
      <c r="D496" s="3" t="s">
        <v>33</v>
      </c>
      <c r="E496" s="3" t="s">
        <v>1018</v>
      </c>
      <c r="F496" s="4">
        <v>43405.819444444445</v>
      </c>
      <c r="G496" s="3"/>
      <c r="H496" s="3"/>
      <c r="I496" s="3" t="s">
        <v>7043</v>
      </c>
      <c r="J496" s="3"/>
      <c r="K496" s="3"/>
      <c r="L496" s="5"/>
    </row>
    <row r="497" spans="1:12" ht="28.8" x14ac:dyDescent="0.55000000000000004">
      <c r="A497" s="9" t="str">
        <f>HYPERLINK("PDF\FOIA-FWS-2020-00724-0000496.pdf","FOIA-FWS-2020-00724-0000496")</f>
        <v>FOIA-FWS-2020-00724-0000496</v>
      </c>
      <c r="B497" s="3" t="s">
        <v>1019</v>
      </c>
      <c r="C497" s="3" t="s">
        <v>3</v>
      </c>
      <c r="D497" s="3" t="s">
        <v>33</v>
      </c>
      <c r="E497" s="3" t="s">
        <v>1020</v>
      </c>
      <c r="F497" s="4">
        <v>43406</v>
      </c>
      <c r="G497" s="3"/>
      <c r="H497" s="3"/>
      <c r="I497" s="3" t="s">
        <v>7043</v>
      </c>
      <c r="J497" s="3"/>
      <c r="K497" s="3"/>
      <c r="L497" s="5"/>
    </row>
    <row r="498" spans="1:12" ht="28.8" x14ac:dyDescent="0.55000000000000004">
      <c r="A498" s="9" t="str">
        <f>HYPERLINK("PDF\FOIA-FWS-2020-00724-0000497.pdf","FOIA-FWS-2020-00724-0000497")</f>
        <v>FOIA-FWS-2020-00724-0000497</v>
      </c>
      <c r="B498" s="3" t="s">
        <v>1021</v>
      </c>
      <c r="C498" s="3" t="s">
        <v>3</v>
      </c>
      <c r="D498" s="3" t="s">
        <v>33</v>
      </c>
      <c r="E498" s="3" t="s">
        <v>1022</v>
      </c>
      <c r="F498" s="4">
        <v>43406</v>
      </c>
      <c r="G498" s="3"/>
      <c r="H498" s="3"/>
      <c r="I498" s="3" t="s">
        <v>7043</v>
      </c>
      <c r="J498" s="3"/>
      <c r="K498" s="3"/>
      <c r="L498" s="5"/>
    </row>
    <row r="499" spans="1:12" ht="28.8" x14ac:dyDescent="0.55000000000000004">
      <c r="A499" s="9" t="str">
        <f>HYPERLINK("PDF\FOIA-FWS-2020-00724-0000498.pdf","FOIA-FWS-2020-00724-0000498")</f>
        <v>FOIA-FWS-2020-00724-0000498</v>
      </c>
      <c r="B499" s="3" t="s">
        <v>1023</v>
      </c>
      <c r="C499" s="3" t="s">
        <v>3</v>
      </c>
      <c r="D499" s="3" t="s">
        <v>33</v>
      </c>
      <c r="E499" s="3" t="s">
        <v>1025</v>
      </c>
      <c r="F499" s="4">
        <v>43406.001388888886</v>
      </c>
      <c r="G499" s="3" t="s">
        <v>861</v>
      </c>
      <c r="H499" s="3" t="s">
        <v>1024</v>
      </c>
      <c r="I499" s="3" t="s">
        <v>7043</v>
      </c>
      <c r="J499" s="3"/>
      <c r="K499" s="3"/>
      <c r="L499" s="5"/>
    </row>
    <row r="500" spans="1:12" ht="28.8" x14ac:dyDescent="0.55000000000000004">
      <c r="A500" s="9" t="str">
        <f>HYPERLINK("PDF\FOIA-FWS-2020-00724-0000499.pdf","FOIA-FWS-2020-00724-0000499")</f>
        <v>FOIA-FWS-2020-00724-0000499</v>
      </c>
      <c r="B500" s="3" t="s">
        <v>1026</v>
      </c>
      <c r="C500" s="3" t="s">
        <v>3</v>
      </c>
      <c r="D500" s="3" t="s">
        <v>33</v>
      </c>
      <c r="E500" s="3" t="s">
        <v>1028</v>
      </c>
      <c r="F500" s="4">
        <v>43406.455555555556</v>
      </c>
      <c r="G500" s="3" t="s">
        <v>963</v>
      </c>
      <c r="H500" s="3" t="s">
        <v>1027</v>
      </c>
      <c r="I500" s="3" t="s">
        <v>7043</v>
      </c>
      <c r="J500" s="3"/>
      <c r="K500" s="3"/>
      <c r="L500" s="5"/>
    </row>
    <row r="501" spans="1:12" ht="28.8" x14ac:dyDescent="0.55000000000000004">
      <c r="A501" s="9" t="str">
        <f>HYPERLINK("PDF\FOIA-FWS-2020-00724-0000500.pdf","FOIA-FWS-2020-00724-0000500")</f>
        <v>FOIA-FWS-2020-00724-0000500</v>
      </c>
      <c r="B501" s="3" t="s">
        <v>1026</v>
      </c>
      <c r="C501" s="3" t="s">
        <v>234</v>
      </c>
      <c r="D501" s="3" t="s">
        <v>33</v>
      </c>
      <c r="E501" s="3" t="s">
        <v>1022</v>
      </c>
      <c r="F501" s="4">
        <v>43406.455555555556</v>
      </c>
      <c r="G501" s="3"/>
      <c r="H501" s="3"/>
      <c r="I501" s="3" t="s">
        <v>7043</v>
      </c>
      <c r="J501" s="3"/>
      <c r="K501" s="3"/>
      <c r="L501" s="5"/>
    </row>
    <row r="502" spans="1:12" ht="28.8" x14ac:dyDescent="0.55000000000000004">
      <c r="A502" s="9" t="str">
        <f>HYPERLINK("PDF\FOIA-FWS-2020-00724-0000501.pdf","FOIA-FWS-2020-00724-0000501")</f>
        <v>FOIA-FWS-2020-00724-0000501</v>
      </c>
      <c r="B502" s="3" t="s">
        <v>1029</v>
      </c>
      <c r="C502" s="3" t="s">
        <v>3</v>
      </c>
      <c r="D502" s="3" t="s">
        <v>33</v>
      </c>
      <c r="E502" s="3" t="s">
        <v>1010</v>
      </c>
      <c r="F502" s="4">
        <v>43406.481249999997</v>
      </c>
      <c r="G502" s="3" t="s">
        <v>945</v>
      </c>
      <c r="H502" s="3" t="s">
        <v>1012</v>
      </c>
      <c r="I502" s="3" t="s">
        <v>7043</v>
      </c>
      <c r="J502" s="3"/>
      <c r="K502" s="3"/>
      <c r="L502" s="5"/>
    </row>
    <row r="503" spans="1:12" ht="28.8" x14ac:dyDescent="0.55000000000000004">
      <c r="A503" s="9" t="str">
        <f>HYPERLINK("PDF\FOIA-FWS-2020-00724-0000502.pdf","FOIA-FWS-2020-00724-0000502")</f>
        <v>FOIA-FWS-2020-00724-0000502</v>
      </c>
      <c r="B503" s="3" t="s">
        <v>1029</v>
      </c>
      <c r="C503" s="3" t="s">
        <v>234</v>
      </c>
      <c r="D503" s="3" t="s">
        <v>33</v>
      </c>
      <c r="E503" s="3" t="s">
        <v>1030</v>
      </c>
      <c r="F503" s="4">
        <v>43406.481249999997</v>
      </c>
      <c r="G503" s="3"/>
      <c r="H503" s="3"/>
      <c r="I503" s="3" t="s">
        <v>7043</v>
      </c>
      <c r="J503" s="3"/>
      <c r="K503" s="3"/>
      <c r="L503" s="5"/>
    </row>
    <row r="504" spans="1:12" ht="28.8" x14ac:dyDescent="0.55000000000000004">
      <c r="A504" s="9" t="str">
        <f>HYPERLINK("PDF\FOIA-FWS-2020-00724-0000503.pdf","FOIA-FWS-2020-00724-0000503")</f>
        <v>FOIA-FWS-2020-00724-0000503</v>
      </c>
      <c r="B504" s="3" t="s">
        <v>1031</v>
      </c>
      <c r="C504" s="3" t="s">
        <v>3</v>
      </c>
      <c r="D504" s="3" t="s">
        <v>33</v>
      </c>
      <c r="E504" s="3" t="s">
        <v>1025</v>
      </c>
      <c r="F504" s="4">
        <v>43406.529166666667</v>
      </c>
      <c r="G504" s="3" t="s">
        <v>955</v>
      </c>
      <c r="H504" s="3" t="s">
        <v>861</v>
      </c>
      <c r="I504" s="3" t="s">
        <v>7043</v>
      </c>
      <c r="J504" s="3"/>
      <c r="K504" s="3"/>
      <c r="L504" s="5"/>
    </row>
    <row r="505" spans="1:12" ht="28.8" x14ac:dyDescent="0.55000000000000004">
      <c r="A505" s="9" t="str">
        <f>HYPERLINK("PDF\FOIA-FWS-2020-00724-0000504.pdf","FOIA-FWS-2020-00724-0000504")</f>
        <v>FOIA-FWS-2020-00724-0000504</v>
      </c>
      <c r="B505" s="3" t="s">
        <v>1032</v>
      </c>
      <c r="C505" s="3" t="s">
        <v>3</v>
      </c>
      <c r="D505" s="3" t="s">
        <v>33</v>
      </c>
      <c r="E505" s="3" t="s">
        <v>1025</v>
      </c>
      <c r="F505" s="4">
        <v>43406.535416666666</v>
      </c>
      <c r="G505" s="3" t="s">
        <v>861</v>
      </c>
      <c r="H505" s="3" t="s">
        <v>1024</v>
      </c>
      <c r="I505" s="3" t="s">
        <v>7043</v>
      </c>
      <c r="J505" s="3"/>
      <c r="K505" s="3"/>
      <c r="L505" s="5"/>
    </row>
    <row r="506" spans="1:12" ht="72" x14ac:dyDescent="0.55000000000000004">
      <c r="A506" s="9" t="str">
        <f>HYPERLINK("PDF\FOIA-FWS-2020-00724-0000505.pdf","FOIA-FWS-2020-00724-0000505")</f>
        <v>FOIA-FWS-2020-00724-0000505</v>
      </c>
      <c r="B506" s="3" t="s">
        <v>1033</v>
      </c>
      <c r="C506" s="3" t="s">
        <v>3</v>
      </c>
      <c r="D506" s="3" t="s">
        <v>33</v>
      </c>
      <c r="E506" s="3" t="s">
        <v>1036</v>
      </c>
      <c r="F506" s="4">
        <v>43406.545138888891</v>
      </c>
      <c r="G506" s="3" t="s">
        <v>1034</v>
      </c>
      <c r="H506" s="3" t="s">
        <v>1035</v>
      </c>
      <c r="I506" s="3" t="s">
        <v>7043</v>
      </c>
      <c r="J506" s="3"/>
      <c r="K506" s="3"/>
      <c r="L506" s="5"/>
    </row>
    <row r="507" spans="1:12" ht="28.8" x14ac:dyDescent="0.55000000000000004">
      <c r="A507" s="9" t="str">
        <f>HYPERLINK("PDF\FOIA-FWS-2020-00724-0000506.pdf","FOIA-FWS-2020-00724-0000506")</f>
        <v>FOIA-FWS-2020-00724-0000506</v>
      </c>
      <c r="B507" s="3" t="s">
        <v>1037</v>
      </c>
      <c r="C507" s="3" t="s">
        <v>3</v>
      </c>
      <c r="D507" s="3" t="s">
        <v>33</v>
      </c>
      <c r="E507" s="3" t="s">
        <v>1010</v>
      </c>
      <c r="F507" s="4">
        <v>43406.54583333333</v>
      </c>
      <c r="G507" s="3" t="s">
        <v>1024</v>
      </c>
      <c r="H507" s="3" t="s">
        <v>1038</v>
      </c>
      <c r="I507" s="3" t="s">
        <v>7043</v>
      </c>
      <c r="J507" s="3"/>
      <c r="K507" s="3"/>
      <c r="L507" s="5"/>
    </row>
    <row r="508" spans="1:12" ht="28.8" x14ac:dyDescent="0.55000000000000004">
      <c r="A508" s="9" t="str">
        <f>HYPERLINK("PDF\FOIA-FWS-2020-00724-0000507.pdf","FOIA-FWS-2020-00724-0000507")</f>
        <v>FOIA-FWS-2020-00724-0000507</v>
      </c>
      <c r="B508" s="3" t="s">
        <v>1037</v>
      </c>
      <c r="C508" s="3" t="s">
        <v>234</v>
      </c>
      <c r="D508" s="3" t="s">
        <v>33</v>
      </c>
      <c r="E508" s="3" t="s">
        <v>1039</v>
      </c>
      <c r="F508" s="4">
        <v>43406.54583333333</v>
      </c>
      <c r="G508" s="3"/>
      <c r="H508" s="3"/>
      <c r="I508" s="3" t="s">
        <v>7043</v>
      </c>
      <c r="J508" s="3"/>
      <c r="K508" s="3"/>
      <c r="L508" s="5"/>
    </row>
    <row r="509" spans="1:12" ht="28.8" x14ac:dyDescent="0.55000000000000004">
      <c r="A509" s="9" t="str">
        <f>HYPERLINK("PDF\FOIA-FWS-2020-00724-0000508.pdf","FOIA-FWS-2020-00724-0000508")</f>
        <v>FOIA-FWS-2020-00724-0000508</v>
      </c>
      <c r="B509" s="3" t="s">
        <v>1040</v>
      </c>
      <c r="C509" s="3" t="s">
        <v>3</v>
      </c>
      <c r="D509" s="3" t="s">
        <v>33</v>
      </c>
      <c r="E509" s="3" t="s">
        <v>1042</v>
      </c>
      <c r="F509" s="4">
        <v>43406.552777777775</v>
      </c>
      <c r="G509" s="3" t="s">
        <v>861</v>
      </c>
      <c r="H509" s="3" t="s">
        <v>1041</v>
      </c>
      <c r="I509" s="3" t="s">
        <v>7043</v>
      </c>
      <c r="J509" s="3"/>
      <c r="K509" s="3"/>
      <c r="L509" s="5"/>
    </row>
    <row r="510" spans="1:12" ht="28.8" x14ac:dyDescent="0.55000000000000004">
      <c r="A510" s="9" t="str">
        <f>HYPERLINK("PDF\FOIA-FWS-2020-00724-0000509.pdf","FOIA-FWS-2020-00724-0000509")</f>
        <v>FOIA-FWS-2020-00724-0000509</v>
      </c>
      <c r="B510" s="3" t="s">
        <v>1040</v>
      </c>
      <c r="C510" s="3" t="s">
        <v>234</v>
      </c>
      <c r="D510" s="3" t="s">
        <v>33</v>
      </c>
      <c r="E510" s="3" t="s">
        <v>995</v>
      </c>
      <c r="F510" s="4">
        <v>43406.552777777775</v>
      </c>
      <c r="G510" s="3"/>
      <c r="H510" s="3"/>
      <c r="I510" s="3" t="s">
        <v>7043</v>
      </c>
      <c r="J510" s="3"/>
      <c r="K510" s="3"/>
      <c r="L510" s="5"/>
    </row>
    <row r="511" spans="1:12" ht="28.8" x14ac:dyDescent="0.55000000000000004">
      <c r="A511" s="9" t="str">
        <f>HYPERLINK("PDF\FOIA-FWS-2020-00724-0000510.pdf","FOIA-FWS-2020-00724-0000510")</f>
        <v>FOIA-FWS-2020-00724-0000510</v>
      </c>
      <c r="B511" s="3" t="s">
        <v>1043</v>
      </c>
      <c r="C511" s="3" t="s">
        <v>3</v>
      </c>
      <c r="D511" s="3" t="s">
        <v>33</v>
      </c>
      <c r="E511" s="3" t="s">
        <v>1044</v>
      </c>
      <c r="F511" s="4">
        <v>43406.561111111114</v>
      </c>
      <c r="G511" s="3" t="s">
        <v>861</v>
      </c>
      <c r="H511" s="3" t="s">
        <v>1041</v>
      </c>
      <c r="I511" s="3" t="s">
        <v>7043</v>
      </c>
      <c r="J511" s="3"/>
      <c r="K511" s="3"/>
      <c r="L511" s="5"/>
    </row>
    <row r="512" spans="1:12" ht="28.8" x14ac:dyDescent="0.55000000000000004">
      <c r="A512" s="9" t="str">
        <f>HYPERLINK("PDF\FOIA-FWS-2020-00724-0000511.pdf","FOIA-FWS-2020-00724-0000511")</f>
        <v>FOIA-FWS-2020-00724-0000511</v>
      </c>
      <c r="B512" s="3" t="s">
        <v>1043</v>
      </c>
      <c r="C512" s="3" t="s">
        <v>234</v>
      </c>
      <c r="D512" s="3" t="s">
        <v>4</v>
      </c>
      <c r="E512" s="3" t="s">
        <v>1045</v>
      </c>
      <c r="F512" s="4">
        <v>43406.561111111114</v>
      </c>
      <c r="G512" s="3"/>
      <c r="H512" s="3"/>
      <c r="I512" s="3" t="s">
        <v>7043</v>
      </c>
      <c r="J512" s="3"/>
      <c r="K512" s="3"/>
      <c r="L512" s="5"/>
    </row>
    <row r="513" spans="1:12" ht="28.8" x14ac:dyDescent="0.55000000000000004">
      <c r="A513" s="9" t="str">
        <f>HYPERLINK("PDF\FOIA-FWS-2020-00724-0000512.pdf","FOIA-FWS-2020-00724-0000512")</f>
        <v>FOIA-FWS-2020-00724-0000512</v>
      </c>
      <c r="B513" s="3" t="s">
        <v>1043</v>
      </c>
      <c r="C513" s="3" t="s">
        <v>234</v>
      </c>
      <c r="D513" s="3" t="s">
        <v>4</v>
      </c>
      <c r="E513" s="3" t="s">
        <v>1046</v>
      </c>
      <c r="F513" s="4">
        <v>43406.561111111114</v>
      </c>
      <c r="G513" s="3"/>
      <c r="H513" s="3"/>
      <c r="I513" s="3" t="s">
        <v>7043</v>
      </c>
      <c r="J513" s="3"/>
      <c r="K513" s="3"/>
      <c r="L513" s="5"/>
    </row>
    <row r="514" spans="1:12" ht="28.8" x14ac:dyDescent="0.55000000000000004">
      <c r="A514" s="9" t="str">
        <f>HYPERLINK("PDF\FOIA-FWS-2020-00724-0000513.pdf","FOIA-FWS-2020-00724-0000513")</f>
        <v>FOIA-FWS-2020-00724-0000513</v>
      </c>
      <c r="B514" s="3" t="s">
        <v>1047</v>
      </c>
      <c r="C514" s="3" t="s">
        <v>3</v>
      </c>
      <c r="D514" s="3" t="s">
        <v>33</v>
      </c>
      <c r="E514" s="3" t="s">
        <v>1010</v>
      </c>
      <c r="F514" s="4">
        <v>43406.565972222219</v>
      </c>
      <c r="G514" s="3" t="s">
        <v>1024</v>
      </c>
      <c r="H514" s="3" t="s">
        <v>1038</v>
      </c>
      <c r="I514" s="3" t="s">
        <v>7043</v>
      </c>
      <c r="J514" s="3"/>
      <c r="K514" s="3"/>
      <c r="L514" s="5"/>
    </row>
    <row r="515" spans="1:12" ht="28.8" x14ac:dyDescent="0.55000000000000004">
      <c r="A515" s="9" t="str">
        <f>HYPERLINK("PDF\FOIA-FWS-2020-00724-0000514.pdf","FOIA-FWS-2020-00724-0000514")</f>
        <v>FOIA-FWS-2020-00724-0000514</v>
      </c>
      <c r="B515" s="3" t="s">
        <v>1048</v>
      </c>
      <c r="C515" s="3" t="s">
        <v>3</v>
      </c>
      <c r="D515" s="3" t="s">
        <v>33</v>
      </c>
      <c r="E515" s="3" t="s">
        <v>1010</v>
      </c>
      <c r="F515" s="4">
        <v>43406.79791666667</v>
      </c>
      <c r="G515" s="3" t="s">
        <v>861</v>
      </c>
      <c r="H515" s="3" t="s">
        <v>1024</v>
      </c>
      <c r="I515" s="3" t="s">
        <v>7043</v>
      </c>
      <c r="J515" s="3"/>
      <c r="K515" s="3"/>
      <c r="L515" s="5"/>
    </row>
    <row r="516" spans="1:12" ht="28.8" x14ac:dyDescent="0.55000000000000004">
      <c r="A516" s="9" t="str">
        <f>HYPERLINK("PDF\FOIA-FWS-2020-00724-0000515.pdf","FOIA-FWS-2020-00724-0000515")</f>
        <v>FOIA-FWS-2020-00724-0000515</v>
      </c>
      <c r="B516" s="3" t="s">
        <v>1048</v>
      </c>
      <c r="C516" s="3" t="s">
        <v>234</v>
      </c>
      <c r="D516" s="3" t="s">
        <v>33</v>
      </c>
      <c r="E516" s="3" t="s">
        <v>1049</v>
      </c>
      <c r="F516" s="4">
        <v>43406.79791666667</v>
      </c>
      <c r="G516" s="3"/>
      <c r="H516" s="3"/>
      <c r="I516" s="3" t="s">
        <v>7043</v>
      </c>
      <c r="J516" s="3"/>
      <c r="K516" s="3"/>
      <c r="L516" s="5"/>
    </row>
    <row r="517" spans="1:12" ht="28.8" x14ac:dyDescent="0.55000000000000004">
      <c r="A517" s="9" t="str">
        <f>HYPERLINK("PDF\FOIA-FWS-2020-00724-0000516.pdf","FOIA-FWS-2020-00724-0000516")</f>
        <v>FOIA-FWS-2020-00724-0000516</v>
      </c>
      <c r="B517" s="3" t="s">
        <v>1050</v>
      </c>
      <c r="C517" s="3" t="s">
        <v>3</v>
      </c>
      <c r="D517" s="3" t="s">
        <v>33</v>
      </c>
      <c r="E517" s="3" t="s">
        <v>1051</v>
      </c>
      <c r="F517" s="4">
        <v>43409</v>
      </c>
      <c r="G517" s="3"/>
      <c r="H517" s="3"/>
      <c r="I517" s="3" t="s">
        <v>7043</v>
      </c>
      <c r="J517" s="3"/>
      <c r="K517" s="3"/>
      <c r="L517" s="5"/>
    </row>
    <row r="518" spans="1:12" ht="100.8" x14ac:dyDescent="0.55000000000000004">
      <c r="A518" s="9" t="str">
        <f>HYPERLINK("PDF\FOIA-FWS-2020-00724-0000517.pdf","FOIA-FWS-2020-00724-0000517")</f>
        <v>FOIA-FWS-2020-00724-0000517</v>
      </c>
      <c r="B518" s="3" t="s">
        <v>1052</v>
      </c>
      <c r="C518" s="3" t="s">
        <v>3</v>
      </c>
      <c r="D518" s="3" t="s">
        <v>33</v>
      </c>
      <c r="E518" s="3" t="s">
        <v>1053</v>
      </c>
      <c r="F518" s="4">
        <v>43409.571527777778</v>
      </c>
      <c r="G518" s="3" t="s">
        <v>955</v>
      </c>
      <c r="H518" s="3" t="s">
        <v>963</v>
      </c>
      <c r="I518" s="3" t="s">
        <v>7043</v>
      </c>
      <c r="J518" s="3"/>
      <c r="K518" s="3"/>
      <c r="L518" s="5"/>
    </row>
    <row r="519" spans="1:12" ht="331.2" x14ac:dyDescent="0.55000000000000004">
      <c r="A519" s="9" t="str">
        <f>HYPERLINK("PDF\FOIA-FWS-2020-00724-0000518.pdf","FOIA-FWS-2020-00724-0000518")</f>
        <v>FOIA-FWS-2020-00724-0000518</v>
      </c>
      <c r="B519" s="3" t="s">
        <v>1054</v>
      </c>
      <c r="C519" s="3" t="s">
        <v>3</v>
      </c>
      <c r="D519" s="3" t="s">
        <v>33</v>
      </c>
      <c r="E519" s="3" t="s">
        <v>1057</v>
      </c>
      <c r="F519" s="4">
        <v>43409.665277777778</v>
      </c>
      <c r="G519" s="3" t="s">
        <v>1055</v>
      </c>
      <c r="H519" s="3" t="s">
        <v>1056</v>
      </c>
      <c r="I519" s="3" t="s">
        <v>7043</v>
      </c>
      <c r="J519" s="3"/>
      <c r="K519" s="3"/>
      <c r="L519" s="5"/>
    </row>
    <row r="520" spans="1:12" ht="28.8" x14ac:dyDescent="0.55000000000000004">
      <c r="A520" s="9" t="str">
        <f>HYPERLINK("PDF\FOIA-FWS-2020-00724-0000519.pdf","FOIA-FWS-2020-00724-0000519")</f>
        <v>FOIA-FWS-2020-00724-0000519</v>
      </c>
      <c r="B520" s="3" t="s">
        <v>1054</v>
      </c>
      <c r="C520" s="3" t="s">
        <v>234</v>
      </c>
      <c r="D520" s="3" t="s">
        <v>33</v>
      </c>
      <c r="E520" s="3" t="s">
        <v>1058</v>
      </c>
      <c r="F520" s="4">
        <v>43409.665277777778</v>
      </c>
      <c r="G520" s="3"/>
      <c r="H520" s="3"/>
      <c r="I520" s="3" t="s">
        <v>7043</v>
      </c>
      <c r="J520" s="3"/>
      <c r="K520" s="3"/>
      <c r="L520" s="5"/>
    </row>
    <row r="521" spans="1:12" ht="28.8" x14ac:dyDescent="0.55000000000000004">
      <c r="A521" s="9" t="str">
        <f>HYPERLINK("PDF\FOIA-FWS-2020-00724-0000520.pdf","FOIA-FWS-2020-00724-0000520")</f>
        <v>FOIA-FWS-2020-00724-0000520</v>
      </c>
      <c r="B521" s="3" t="s">
        <v>1059</v>
      </c>
      <c r="C521" s="3" t="s">
        <v>3</v>
      </c>
      <c r="D521" s="3" t="s">
        <v>33</v>
      </c>
      <c r="E521" s="3" t="s">
        <v>1061</v>
      </c>
      <c r="F521" s="4">
        <v>43410.609722222223</v>
      </c>
      <c r="G521" s="3" t="s">
        <v>861</v>
      </c>
      <c r="H521" s="3" t="s">
        <v>1060</v>
      </c>
      <c r="I521" s="3" t="s">
        <v>7043</v>
      </c>
      <c r="J521" s="3"/>
      <c r="K521" s="3"/>
      <c r="L521" s="5"/>
    </row>
    <row r="522" spans="1:12" ht="28.8" x14ac:dyDescent="0.55000000000000004">
      <c r="A522" s="9" t="str">
        <f>HYPERLINK("PDF\FOIA-FWS-2020-00724-0000521.pdf","FOIA-FWS-2020-00724-0000521")</f>
        <v>FOIA-FWS-2020-00724-0000521</v>
      </c>
      <c r="B522" s="3" t="s">
        <v>1062</v>
      </c>
      <c r="C522" s="3" t="s">
        <v>3</v>
      </c>
      <c r="D522" s="3" t="s">
        <v>4</v>
      </c>
      <c r="E522" s="3" t="s">
        <v>1063</v>
      </c>
      <c r="F522" s="4">
        <v>43411</v>
      </c>
      <c r="G522" s="3"/>
      <c r="H522" s="3"/>
      <c r="I522" s="3" t="s">
        <v>7043</v>
      </c>
      <c r="J522" s="3"/>
      <c r="K522" s="3"/>
      <c r="L522" s="5"/>
    </row>
    <row r="523" spans="1:12" ht="28.8" x14ac:dyDescent="0.55000000000000004">
      <c r="A523" s="9" t="str">
        <f>HYPERLINK("PDF\FOIA-FWS-2020-00724-0000522.pdf","FOIA-FWS-2020-00724-0000522")</f>
        <v>FOIA-FWS-2020-00724-0000522</v>
      </c>
      <c r="B523" s="3" t="s">
        <v>1064</v>
      </c>
      <c r="C523" s="3" t="s">
        <v>3</v>
      </c>
      <c r="D523" s="3" t="s">
        <v>33</v>
      </c>
      <c r="E523" s="3" t="s">
        <v>1065</v>
      </c>
      <c r="F523" s="4">
        <v>43412</v>
      </c>
      <c r="G523" s="3"/>
      <c r="H523" s="3"/>
      <c r="I523" s="3" t="s">
        <v>7043</v>
      </c>
      <c r="J523" s="3"/>
      <c r="K523" s="3"/>
      <c r="L523" s="5"/>
    </row>
    <row r="524" spans="1:12" ht="28.8" x14ac:dyDescent="0.55000000000000004">
      <c r="A524" s="9" t="str">
        <f>HYPERLINK("PDF\FOIA-FWS-2020-00724-0000523.pdf","FOIA-FWS-2020-00724-0000523")</f>
        <v>FOIA-FWS-2020-00724-0000523</v>
      </c>
      <c r="B524" s="3" t="s">
        <v>1066</v>
      </c>
      <c r="C524" s="3" t="s">
        <v>3</v>
      </c>
      <c r="D524" s="3" t="s">
        <v>33</v>
      </c>
      <c r="E524" s="3" t="s">
        <v>1067</v>
      </c>
      <c r="F524" s="4">
        <v>43412</v>
      </c>
      <c r="G524" s="3"/>
      <c r="H524" s="3"/>
      <c r="I524" s="3" t="s">
        <v>7043</v>
      </c>
      <c r="J524" s="3"/>
      <c r="K524" s="3"/>
      <c r="L524" s="5"/>
    </row>
    <row r="525" spans="1:12" ht="28.8" x14ac:dyDescent="0.55000000000000004">
      <c r="A525" s="9" t="str">
        <f>HYPERLINK("PDF\FOIA-FWS-2020-00724-0000524.pdf","FOIA-FWS-2020-00724-0000524")</f>
        <v>FOIA-FWS-2020-00724-0000524</v>
      </c>
      <c r="B525" s="3" t="s">
        <v>1068</v>
      </c>
      <c r="C525" s="3" t="s">
        <v>3</v>
      </c>
      <c r="D525" s="3" t="s">
        <v>33</v>
      </c>
      <c r="E525" s="3" t="s">
        <v>1071</v>
      </c>
      <c r="F525" s="4">
        <v>43412.617361111108</v>
      </c>
      <c r="G525" s="3" t="s">
        <v>1069</v>
      </c>
      <c r="H525" s="3" t="s">
        <v>1070</v>
      </c>
      <c r="I525" s="3" t="s">
        <v>7043</v>
      </c>
      <c r="J525" s="3"/>
      <c r="K525" s="3"/>
      <c r="L525" s="5"/>
    </row>
    <row r="526" spans="1:12" ht="28.8" x14ac:dyDescent="0.55000000000000004">
      <c r="A526" s="9" t="str">
        <f>HYPERLINK("PDF\FOIA-FWS-2020-00724-0000525.pdf","FOIA-FWS-2020-00724-0000525")</f>
        <v>FOIA-FWS-2020-00724-0000525</v>
      </c>
      <c r="B526" s="3" t="s">
        <v>1072</v>
      </c>
      <c r="C526" s="3" t="s">
        <v>3</v>
      </c>
      <c r="D526" s="3" t="s">
        <v>33</v>
      </c>
      <c r="E526" s="3" t="s">
        <v>1074</v>
      </c>
      <c r="F526" s="4">
        <v>43412.643055555556</v>
      </c>
      <c r="G526" s="3" t="s">
        <v>1073</v>
      </c>
      <c r="H526" s="3" t="s">
        <v>1069</v>
      </c>
      <c r="I526" s="3" t="s">
        <v>7043</v>
      </c>
      <c r="J526" s="3"/>
      <c r="K526" s="3"/>
      <c r="L526" s="5"/>
    </row>
    <row r="527" spans="1:12" ht="28.8" x14ac:dyDescent="0.55000000000000004">
      <c r="A527" s="9" t="str">
        <f>HYPERLINK("PDF\FOIA-FWS-2020-00724-0000526.pdf","FOIA-FWS-2020-00724-0000526")</f>
        <v>FOIA-FWS-2020-00724-0000526</v>
      </c>
      <c r="B527" s="3" t="s">
        <v>1072</v>
      </c>
      <c r="C527" s="3" t="s">
        <v>234</v>
      </c>
      <c r="D527" s="3" t="s">
        <v>160</v>
      </c>
      <c r="E527" s="3" t="s">
        <v>1075</v>
      </c>
      <c r="F527" s="4">
        <v>43412.643055555556</v>
      </c>
      <c r="G527" s="3"/>
      <c r="H527" s="3"/>
      <c r="I527" s="3" t="s">
        <v>7043</v>
      </c>
      <c r="J527" s="3"/>
      <c r="K527" s="3"/>
      <c r="L527" s="5" t="str">
        <f>HYPERLINK("NATIVE_FILES\FOIA-FWS-2020-00724-0000526.adf","FOIA-FWS-2020-00724-0000526.adf")</f>
        <v>FOIA-FWS-2020-00724-0000526.adf</v>
      </c>
    </row>
    <row r="528" spans="1:12" ht="28.8" x14ac:dyDescent="0.55000000000000004">
      <c r="A528" s="9" t="str">
        <f>HYPERLINK("PDF\FOIA-FWS-2020-00724-0000527.pdf","FOIA-FWS-2020-00724-0000527")</f>
        <v>FOIA-FWS-2020-00724-0000527</v>
      </c>
      <c r="B528" s="3" t="s">
        <v>1072</v>
      </c>
      <c r="C528" s="3" t="s">
        <v>234</v>
      </c>
      <c r="D528" s="3" t="s">
        <v>160</v>
      </c>
      <c r="E528" s="3" t="s">
        <v>1076</v>
      </c>
      <c r="F528" s="4">
        <v>43412.643055555556</v>
      </c>
      <c r="G528" s="3"/>
      <c r="H528" s="3"/>
      <c r="I528" s="3" t="s">
        <v>7043</v>
      </c>
      <c r="J528" s="3"/>
      <c r="K528" s="3"/>
      <c r="L528" s="5" t="str">
        <f>HYPERLINK("NATIVE_FILES\FOIA-FWS-2020-00724-0000527.xml","FOIA-FWS-2020-00724-0000527.xml")</f>
        <v>FOIA-FWS-2020-00724-0000527.xml</v>
      </c>
    </row>
    <row r="529" spans="1:12" ht="28.8" x14ac:dyDescent="0.55000000000000004">
      <c r="A529" s="9" t="str">
        <f>HYPERLINK("PDF\FOIA-FWS-2020-00724-0000528.pdf","FOIA-FWS-2020-00724-0000528")</f>
        <v>FOIA-FWS-2020-00724-0000528</v>
      </c>
      <c r="B529" s="3" t="s">
        <v>1072</v>
      </c>
      <c r="C529" s="3" t="s">
        <v>234</v>
      </c>
      <c r="D529" s="3" t="s">
        <v>160</v>
      </c>
      <c r="E529" s="3" t="s">
        <v>1077</v>
      </c>
      <c r="F529" s="4">
        <v>43412.643055555556</v>
      </c>
      <c r="G529" s="3"/>
      <c r="H529" s="3"/>
      <c r="I529" s="3" t="s">
        <v>7043</v>
      </c>
      <c r="J529" s="3"/>
      <c r="K529" s="3"/>
      <c r="L529" s="5" t="str">
        <f>HYPERLINK("NATIVE_FILES\FOIA-FWS-2020-00724-0000528.adf","FOIA-FWS-2020-00724-0000528.adf")</f>
        <v>FOIA-FWS-2020-00724-0000528.adf</v>
      </c>
    </row>
    <row r="530" spans="1:12" ht="28.8" x14ac:dyDescent="0.55000000000000004">
      <c r="A530" s="9" t="str">
        <f>HYPERLINK("PDF\FOIA-FWS-2020-00724-0000529.pdf","FOIA-FWS-2020-00724-0000529")</f>
        <v>FOIA-FWS-2020-00724-0000529</v>
      </c>
      <c r="B530" s="3" t="s">
        <v>1072</v>
      </c>
      <c r="C530" s="3" t="s">
        <v>234</v>
      </c>
      <c r="D530" s="3" t="s">
        <v>160</v>
      </c>
      <c r="E530" s="3" t="s">
        <v>1078</v>
      </c>
      <c r="F530" s="4">
        <v>43412.643055555556</v>
      </c>
      <c r="G530" s="3"/>
      <c r="H530" s="3"/>
      <c r="I530" s="3" t="s">
        <v>7043</v>
      </c>
      <c r="J530" s="3"/>
      <c r="K530" s="3"/>
      <c r="L530" s="5" t="str">
        <f>HYPERLINK("NATIVE_FILES\FOIA-FWS-2020-00724-0000529.xml","FOIA-FWS-2020-00724-0000529.xml")</f>
        <v>FOIA-FWS-2020-00724-0000529.xml</v>
      </c>
    </row>
    <row r="531" spans="1:12" ht="28.8" x14ac:dyDescent="0.55000000000000004">
      <c r="A531" s="9" t="str">
        <f>HYPERLINK("PDF\FOIA-FWS-2020-00724-0000530.pdf","FOIA-FWS-2020-00724-0000530")</f>
        <v>FOIA-FWS-2020-00724-0000530</v>
      </c>
      <c r="B531" s="3" t="s">
        <v>1072</v>
      </c>
      <c r="C531" s="3" t="s">
        <v>234</v>
      </c>
      <c r="D531" s="3" t="s">
        <v>160</v>
      </c>
      <c r="E531" s="3" t="s">
        <v>1079</v>
      </c>
      <c r="F531" s="4">
        <v>43412.643055555556</v>
      </c>
      <c r="G531" s="3"/>
      <c r="H531" s="3"/>
      <c r="I531" s="3" t="s">
        <v>7043</v>
      </c>
      <c r="J531" s="3"/>
      <c r="K531" s="3"/>
      <c r="L531" s="5" t="str">
        <f>HYPERLINK("NATIVE_FILES\FOIA-FWS-2020-00724-0000530.adf","FOIA-FWS-2020-00724-0000530.adf")</f>
        <v>FOIA-FWS-2020-00724-0000530.adf</v>
      </c>
    </row>
    <row r="532" spans="1:12" ht="28.8" x14ac:dyDescent="0.55000000000000004">
      <c r="A532" s="9" t="str">
        <f>HYPERLINK("PDF\FOIA-FWS-2020-00724-0000531.pdf","FOIA-FWS-2020-00724-0000531")</f>
        <v>FOIA-FWS-2020-00724-0000531</v>
      </c>
      <c r="B532" s="3" t="s">
        <v>1072</v>
      </c>
      <c r="C532" s="3" t="s">
        <v>234</v>
      </c>
      <c r="D532" s="3" t="s">
        <v>160</v>
      </c>
      <c r="E532" s="3" t="s">
        <v>1080</v>
      </c>
      <c r="F532" s="4">
        <v>43412.643055555556</v>
      </c>
      <c r="G532" s="3"/>
      <c r="H532" s="3"/>
      <c r="I532" s="3" t="s">
        <v>7043</v>
      </c>
      <c r="J532" s="3"/>
      <c r="K532" s="3"/>
      <c r="L532" s="5" t="str">
        <f>HYPERLINK("NATIVE_FILES\FOIA-FWS-2020-00724-0000531.adf","FOIA-FWS-2020-00724-0000531.adf")</f>
        <v>FOIA-FWS-2020-00724-0000531.adf</v>
      </c>
    </row>
    <row r="533" spans="1:12" ht="28.8" x14ac:dyDescent="0.55000000000000004">
      <c r="A533" s="9" t="str">
        <f>HYPERLINK("PDF\FOIA-FWS-2020-00724-0000532.pdf","FOIA-FWS-2020-00724-0000532")</f>
        <v>FOIA-FWS-2020-00724-0000532</v>
      </c>
      <c r="B533" s="3" t="s">
        <v>1072</v>
      </c>
      <c r="C533" s="3" t="s">
        <v>234</v>
      </c>
      <c r="D533" s="3" t="s">
        <v>160</v>
      </c>
      <c r="E533" s="3" t="s">
        <v>1081</v>
      </c>
      <c r="F533" s="4">
        <v>43412.643055555556</v>
      </c>
      <c r="G533" s="3"/>
      <c r="H533" s="3"/>
      <c r="I533" s="3" t="s">
        <v>7043</v>
      </c>
      <c r="J533" s="3"/>
      <c r="K533" s="3"/>
      <c r="L533" s="5" t="str">
        <f>HYPERLINK("NATIVE_FILES\FOIA-FWS-2020-00724-0000532.adf","FOIA-FWS-2020-00724-0000532.adf")</f>
        <v>FOIA-FWS-2020-00724-0000532.adf</v>
      </c>
    </row>
    <row r="534" spans="1:12" ht="28.8" x14ac:dyDescent="0.55000000000000004">
      <c r="A534" s="9" t="str">
        <f>HYPERLINK("PDF\FOIA-FWS-2020-00724-0000533.pdf","FOIA-FWS-2020-00724-0000533")</f>
        <v>FOIA-FWS-2020-00724-0000533</v>
      </c>
      <c r="B534" s="3" t="s">
        <v>1072</v>
      </c>
      <c r="C534" s="3" t="s">
        <v>234</v>
      </c>
      <c r="D534" s="3" t="s">
        <v>160</v>
      </c>
      <c r="E534" s="3" t="s">
        <v>1082</v>
      </c>
      <c r="F534" s="4">
        <v>43412.643055555556</v>
      </c>
      <c r="G534" s="3"/>
      <c r="H534" s="3"/>
      <c r="I534" s="3" t="s">
        <v>7043</v>
      </c>
      <c r="J534" s="3"/>
      <c r="K534" s="3"/>
      <c r="L534" s="5" t="str">
        <f>HYPERLINK("NATIVE_FILES\FOIA-FWS-2020-00724-0000533.adf","FOIA-FWS-2020-00724-0000533.adf")</f>
        <v>FOIA-FWS-2020-00724-0000533.adf</v>
      </c>
    </row>
    <row r="535" spans="1:12" ht="28.8" x14ac:dyDescent="0.55000000000000004">
      <c r="A535" s="9" t="str">
        <f>HYPERLINK("PDF\FOIA-FWS-2020-00724-0000534.pdf","FOIA-FWS-2020-00724-0000534")</f>
        <v>FOIA-FWS-2020-00724-0000534</v>
      </c>
      <c r="B535" s="3" t="s">
        <v>1072</v>
      </c>
      <c r="C535" s="3" t="s">
        <v>234</v>
      </c>
      <c r="D535" s="3" t="s">
        <v>160</v>
      </c>
      <c r="E535" s="3" t="s">
        <v>1083</v>
      </c>
      <c r="F535" s="4">
        <v>43412.643055555556</v>
      </c>
      <c r="G535" s="3"/>
      <c r="H535" s="3"/>
      <c r="I535" s="3" t="s">
        <v>7043</v>
      </c>
      <c r="J535" s="3"/>
      <c r="K535" s="3"/>
      <c r="L535" s="5" t="str">
        <f>HYPERLINK("NATIVE_FILES\FOIA-FWS-2020-00724-0000534.adf","FOIA-FWS-2020-00724-0000534.adf")</f>
        <v>FOIA-FWS-2020-00724-0000534.adf</v>
      </c>
    </row>
    <row r="536" spans="1:12" ht="28.8" x14ac:dyDescent="0.55000000000000004">
      <c r="A536" s="9" t="str">
        <f>HYPERLINK("PDF\FOIA-FWS-2020-00724-0000535.pdf","FOIA-FWS-2020-00724-0000535")</f>
        <v>FOIA-FWS-2020-00724-0000535</v>
      </c>
      <c r="B536" s="3" t="s">
        <v>1084</v>
      </c>
      <c r="C536" s="3" t="s">
        <v>3</v>
      </c>
      <c r="D536" s="3" t="s">
        <v>33</v>
      </c>
      <c r="E536" s="3" t="s">
        <v>1085</v>
      </c>
      <c r="F536" s="4">
        <v>43412.647916666669</v>
      </c>
      <c r="G536" s="3" t="s">
        <v>1073</v>
      </c>
      <c r="H536" s="3" t="s">
        <v>1069</v>
      </c>
      <c r="I536" s="3" t="s">
        <v>7043</v>
      </c>
      <c r="J536" s="3"/>
      <c r="K536" s="3"/>
      <c r="L536" s="5"/>
    </row>
    <row r="537" spans="1:12" ht="28.8" x14ac:dyDescent="0.55000000000000004">
      <c r="A537" s="9" t="str">
        <f>HYPERLINK("PDF\FOIA-FWS-2020-00724-0000536.pdf","FOIA-FWS-2020-00724-0000536")</f>
        <v>FOIA-FWS-2020-00724-0000536</v>
      </c>
      <c r="B537" s="3" t="s">
        <v>1084</v>
      </c>
      <c r="C537" s="3" t="s">
        <v>234</v>
      </c>
      <c r="D537" s="3" t="s">
        <v>160</v>
      </c>
      <c r="E537" s="3" t="s">
        <v>1086</v>
      </c>
      <c r="F537" s="4">
        <v>43412.647916666669</v>
      </c>
      <c r="G537" s="3"/>
      <c r="H537" s="3"/>
      <c r="I537" s="3" t="s">
        <v>7043</v>
      </c>
      <c r="J537" s="3"/>
      <c r="K537" s="3"/>
      <c r="L537" s="5" t="str">
        <f>HYPERLINK("NATIVE_FILES\FOIA-FWS-2020-00724-0000536.dbf","FOIA-FWS-2020-00724-0000536.dbf")</f>
        <v>FOIA-FWS-2020-00724-0000536.dbf</v>
      </c>
    </row>
    <row r="538" spans="1:12" ht="28.8" x14ac:dyDescent="0.55000000000000004">
      <c r="A538" s="9" t="str">
        <f>HYPERLINK("PDF\FOIA-FWS-2020-00724-0000537.pdf","FOIA-FWS-2020-00724-0000537")</f>
        <v>FOIA-FWS-2020-00724-0000537</v>
      </c>
      <c r="B538" s="3" t="s">
        <v>1084</v>
      </c>
      <c r="C538" s="3" t="s">
        <v>234</v>
      </c>
      <c r="D538" s="3" t="s">
        <v>160</v>
      </c>
      <c r="E538" s="3" t="s">
        <v>1087</v>
      </c>
      <c r="F538" s="4">
        <v>43412.647916666669</v>
      </c>
      <c r="G538" s="3"/>
      <c r="H538" s="3"/>
      <c r="I538" s="3" t="s">
        <v>7043</v>
      </c>
      <c r="J538" s="3"/>
      <c r="K538" s="3"/>
      <c r="L538" s="5" t="str">
        <f>HYPERLINK("NATIVE_FILES\FOIA-FWS-2020-00724-0000537.prj","FOIA-FWS-2020-00724-0000537.prj")</f>
        <v>FOIA-FWS-2020-00724-0000537.prj</v>
      </c>
    </row>
    <row r="539" spans="1:12" ht="28.8" x14ac:dyDescent="0.55000000000000004">
      <c r="A539" s="9" t="str">
        <f>HYPERLINK("PDF\FOIA-FWS-2020-00724-0000538.pdf","FOIA-FWS-2020-00724-0000538")</f>
        <v>FOIA-FWS-2020-00724-0000538</v>
      </c>
      <c r="B539" s="3" t="s">
        <v>1084</v>
      </c>
      <c r="C539" s="3" t="s">
        <v>234</v>
      </c>
      <c r="D539" s="3" t="s">
        <v>160</v>
      </c>
      <c r="E539" s="3" t="s">
        <v>1088</v>
      </c>
      <c r="F539" s="4">
        <v>43412.647916666669</v>
      </c>
      <c r="G539" s="3"/>
      <c r="H539" s="3"/>
      <c r="I539" s="3" t="s">
        <v>7043</v>
      </c>
      <c r="J539" s="3"/>
      <c r="K539" s="3"/>
      <c r="L539" s="5" t="str">
        <f>HYPERLINK("NATIVE_FILES\FOIA-FWS-2020-00724-0000538.sbn","FOIA-FWS-2020-00724-0000538.sbn")</f>
        <v>FOIA-FWS-2020-00724-0000538.sbn</v>
      </c>
    </row>
    <row r="540" spans="1:12" ht="28.8" x14ac:dyDescent="0.55000000000000004">
      <c r="A540" s="9" t="str">
        <f>HYPERLINK("PDF\FOIA-FWS-2020-00724-0000539.pdf","FOIA-FWS-2020-00724-0000539")</f>
        <v>FOIA-FWS-2020-00724-0000539</v>
      </c>
      <c r="B540" s="3" t="s">
        <v>1084</v>
      </c>
      <c r="C540" s="3" t="s">
        <v>234</v>
      </c>
      <c r="D540" s="3" t="s">
        <v>160</v>
      </c>
      <c r="E540" s="3" t="s">
        <v>1089</v>
      </c>
      <c r="F540" s="4">
        <v>43412.647916666669</v>
      </c>
      <c r="G540" s="3"/>
      <c r="H540" s="3"/>
      <c r="I540" s="3" t="s">
        <v>7043</v>
      </c>
      <c r="J540" s="3"/>
      <c r="K540" s="3"/>
      <c r="L540" s="5" t="str">
        <f>HYPERLINK("NATIVE_FILES\FOIA-FWS-2020-00724-0000539.sbx","FOIA-FWS-2020-00724-0000539.sbx")</f>
        <v>FOIA-FWS-2020-00724-0000539.sbx</v>
      </c>
    </row>
    <row r="541" spans="1:12" ht="28.8" x14ac:dyDescent="0.55000000000000004">
      <c r="A541" s="9" t="str">
        <f>HYPERLINK("PDF\FOIA-FWS-2020-00724-0000540.pdf","FOIA-FWS-2020-00724-0000540")</f>
        <v>FOIA-FWS-2020-00724-0000540</v>
      </c>
      <c r="B541" s="3" t="s">
        <v>1084</v>
      </c>
      <c r="C541" s="3" t="s">
        <v>234</v>
      </c>
      <c r="D541" s="3" t="s">
        <v>160</v>
      </c>
      <c r="E541" s="3" t="s">
        <v>1090</v>
      </c>
      <c r="F541" s="4">
        <v>43412.647916666669</v>
      </c>
      <c r="G541" s="3"/>
      <c r="H541" s="3"/>
      <c r="I541" s="3" t="s">
        <v>7043</v>
      </c>
      <c r="J541" s="3"/>
      <c r="K541" s="3"/>
      <c r="L541" s="5" t="str">
        <f>HYPERLINK("NATIVE_FILES\FOIA-FWS-2020-00724-0000540.shp","FOIA-FWS-2020-00724-0000540.shp")</f>
        <v>FOIA-FWS-2020-00724-0000540.shp</v>
      </c>
    </row>
    <row r="542" spans="1:12" ht="28.8" x14ac:dyDescent="0.55000000000000004">
      <c r="A542" s="9" t="str">
        <f>HYPERLINK("PDF\FOIA-FWS-2020-00724-0000541.pdf","FOIA-FWS-2020-00724-0000541")</f>
        <v>FOIA-FWS-2020-00724-0000541</v>
      </c>
      <c r="B542" s="3" t="s">
        <v>1084</v>
      </c>
      <c r="C542" s="3" t="s">
        <v>234</v>
      </c>
      <c r="D542" s="3" t="s">
        <v>160</v>
      </c>
      <c r="E542" s="3" t="s">
        <v>1091</v>
      </c>
      <c r="F542" s="4">
        <v>43412.647916666669</v>
      </c>
      <c r="G542" s="3"/>
      <c r="H542" s="3"/>
      <c r="I542" s="3" t="s">
        <v>7043</v>
      </c>
      <c r="J542" s="3"/>
      <c r="K542" s="3"/>
      <c r="L542" s="5" t="str">
        <f>HYPERLINK("NATIVE_FILES\FOIA-FWS-2020-00724-0000541.xml","FOIA-FWS-2020-00724-0000541.xml")</f>
        <v>FOIA-FWS-2020-00724-0000541.xml</v>
      </c>
    </row>
    <row r="543" spans="1:12" ht="28.8" x14ac:dyDescent="0.55000000000000004">
      <c r="A543" s="9" t="str">
        <f>HYPERLINK("PDF\FOIA-FWS-2020-00724-0000542.pdf","FOIA-FWS-2020-00724-0000542")</f>
        <v>FOIA-FWS-2020-00724-0000542</v>
      </c>
      <c r="B543" s="3" t="s">
        <v>1084</v>
      </c>
      <c r="C543" s="3" t="s">
        <v>234</v>
      </c>
      <c r="D543" s="3" t="s">
        <v>160</v>
      </c>
      <c r="E543" s="3" t="s">
        <v>1092</v>
      </c>
      <c r="F543" s="4">
        <v>43412.647916666669</v>
      </c>
      <c r="G543" s="3"/>
      <c r="H543" s="3"/>
      <c r="I543" s="3" t="s">
        <v>7043</v>
      </c>
      <c r="J543" s="3"/>
      <c r="K543" s="3"/>
      <c r="L543" s="5" t="str">
        <f>HYPERLINK("NATIVE_FILES\FOIA-FWS-2020-00724-0000542.shx","FOIA-FWS-2020-00724-0000542.shx")</f>
        <v>FOIA-FWS-2020-00724-0000542.shx</v>
      </c>
    </row>
    <row r="544" spans="1:12" ht="28.8" x14ac:dyDescent="0.55000000000000004">
      <c r="A544" s="9" t="str">
        <f>HYPERLINK("PDF\FOIA-FWS-2020-00724-0000543.pdf","FOIA-FWS-2020-00724-0000543")</f>
        <v>FOIA-FWS-2020-00724-0000543</v>
      </c>
      <c r="B544" s="3" t="s">
        <v>1093</v>
      </c>
      <c r="C544" s="3" t="s">
        <v>3</v>
      </c>
      <c r="D544" s="3" t="s">
        <v>33</v>
      </c>
      <c r="E544" s="3" t="s">
        <v>1094</v>
      </c>
      <c r="F544" s="4">
        <v>43412.648611111108</v>
      </c>
      <c r="G544" s="3" t="s">
        <v>1069</v>
      </c>
      <c r="H544" s="3" t="s">
        <v>1070</v>
      </c>
      <c r="I544" s="3" t="s">
        <v>7043</v>
      </c>
      <c r="J544" s="3"/>
      <c r="K544" s="3"/>
      <c r="L544" s="5"/>
    </row>
    <row r="545" spans="1:12" ht="28.8" x14ac:dyDescent="0.55000000000000004">
      <c r="A545" s="9" t="str">
        <f>HYPERLINK("PDF\FOIA-FWS-2020-00724-0000544.pdf","FOIA-FWS-2020-00724-0000544")</f>
        <v>FOIA-FWS-2020-00724-0000544</v>
      </c>
      <c r="B545" s="3" t="s">
        <v>1095</v>
      </c>
      <c r="C545" s="3" t="s">
        <v>3</v>
      </c>
      <c r="D545" s="3" t="s">
        <v>33</v>
      </c>
      <c r="E545" s="3" t="s">
        <v>1094</v>
      </c>
      <c r="F545" s="4">
        <v>43412.65</v>
      </c>
      <c r="G545" s="3" t="s">
        <v>1073</v>
      </c>
      <c r="H545" s="3" t="s">
        <v>1069</v>
      </c>
      <c r="I545" s="3" t="s">
        <v>7043</v>
      </c>
      <c r="J545" s="3"/>
      <c r="K545" s="3"/>
      <c r="L545" s="5"/>
    </row>
    <row r="546" spans="1:12" ht="28.8" x14ac:dyDescent="0.55000000000000004">
      <c r="A546" s="9" t="str">
        <f>HYPERLINK("PDF\FOIA-FWS-2020-00724-0000545.pdf","FOIA-FWS-2020-00724-0000545")</f>
        <v>FOIA-FWS-2020-00724-0000545</v>
      </c>
      <c r="B546" s="3" t="s">
        <v>1095</v>
      </c>
      <c r="C546" s="3" t="s">
        <v>234</v>
      </c>
      <c r="D546" s="3" t="s">
        <v>160</v>
      </c>
      <c r="E546" s="3" t="s">
        <v>1096</v>
      </c>
      <c r="F546" s="4">
        <v>43412.65</v>
      </c>
      <c r="G546" s="3"/>
      <c r="H546" s="3"/>
      <c r="I546" s="3" t="s">
        <v>7043</v>
      </c>
      <c r="J546" s="3"/>
      <c r="K546" s="3"/>
      <c r="L546" s="5" t="str">
        <f>HYPERLINK("NATIVE_FILES\FOIA-FWS-2020-00724-0000545.dir","FOIA-FWS-2020-00724-0000545.dir")</f>
        <v>FOIA-FWS-2020-00724-0000545.dir</v>
      </c>
    </row>
    <row r="547" spans="1:12" ht="28.8" x14ac:dyDescent="0.55000000000000004">
      <c r="A547" s="9" t="str">
        <f>HYPERLINK("PDF\FOIA-FWS-2020-00724-0000546.pdf","FOIA-FWS-2020-00724-0000546")</f>
        <v>FOIA-FWS-2020-00724-0000546</v>
      </c>
      <c r="B547" s="3" t="s">
        <v>1095</v>
      </c>
      <c r="C547" s="3" t="s">
        <v>234</v>
      </c>
      <c r="D547" s="3" t="s">
        <v>160</v>
      </c>
      <c r="E547" s="3" t="s">
        <v>1097</v>
      </c>
      <c r="F547" s="4">
        <v>43412.65</v>
      </c>
      <c r="G547" s="3"/>
      <c r="H547" s="3"/>
      <c r="I547" s="3" t="s">
        <v>7043</v>
      </c>
      <c r="J547" s="3"/>
      <c r="K547" s="3"/>
      <c r="L547" s="5" t="str">
        <f>HYPERLINK("NATIVE_FILES\FOIA-FWS-2020-00724-0000546.dat","FOIA-FWS-2020-00724-0000546.dat")</f>
        <v>FOIA-FWS-2020-00724-0000546.dat</v>
      </c>
    </row>
    <row r="548" spans="1:12" ht="28.8" x14ac:dyDescent="0.55000000000000004">
      <c r="A548" s="9" t="str">
        <f>HYPERLINK("PDF\FOIA-FWS-2020-00724-0000547.pdf","FOIA-FWS-2020-00724-0000547")</f>
        <v>FOIA-FWS-2020-00724-0000547</v>
      </c>
      <c r="B548" s="3" t="s">
        <v>1095</v>
      </c>
      <c r="C548" s="3" t="s">
        <v>234</v>
      </c>
      <c r="D548" s="3" t="s">
        <v>160</v>
      </c>
      <c r="E548" s="3" t="s">
        <v>1098</v>
      </c>
      <c r="F548" s="4">
        <v>43412.65</v>
      </c>
      <c r="G548" s="3"/>
      <c r="H548" s="3"/>
      <c r="I548" s="3" t="s">
        <v>7043</v>
      </c>
      <c r="J548" s="3"/>
      <c r="K548" s="3"/>
      <c r="L548" s="5" t="str">
        <f>HYPERLINK("NATIVE_FILES\FOIA-FWS-2020-00724-0000547.nit","FOIA-FWS-2020-00724-0000547.nit")</f>
        <v>FOIA-FWS-2020-00724-0000547.nit</v>
      </c>
    </row>
    <row r="549" spans="1:12" ht="28.8" x14ac:dyDescent="0.55000000000000004">
      <c r="A549" s="9" t="str">
        <f>HYPERLINK("PDF\FOIA-FWS-2020-00724-0000548.pdf","FOIA-FWS-2020-00724-0000548")</f>
        <v>FOIA-FWS-2020-00724-0000548</v>
      </c>
      <c r="B549" s="3" t="s">
        <v>1095</v>
      </c>
      <c r="C549" s="3" t="s">
        <v>234</v>
      </c>
      <c r="D549" s="3" t="s">
        <v>160</v>
      </c>
      <c r="E549" s="3" t="s">
        <v>1099</v>
      </c>
      <c r="F549" s="4">
        <v>43412.65</v>
      </c>
      <c r="G549" s="3"/>
      <c r="H549" s="3"/>
      <c r="I549" s="3" t="s">
        <v>7043</v>
      </c>
      <c r="J549" s="3"/>
      <c r="K549" s="3"/>
      <c r="L549" s="5" t="str">
        <f>HYPERLINK("NATIVE_FILES\FOIA-FWS-2020-00724-0000548.dat","FOIA-FWS-2020-00724-0000548.dat")</f>
        <v>FOIA-FWS-2020-00724-0000548.dat</v>
      </c>
    </row>
    <row r="550" spans="1:12" ht="28.8" x14ac:dyDescent="0.55000000000000004">
      <c r="A550" s="9" t="str">
        <f>HYPERLINK("PDF\FOIA-FWS-2020-00724-0000549.pdf","FOIA-FWS-2020-00724-0000549")</f>
        <v>FOIA-FWS-2020-00724-0000549</v>
      </c>
      <c r="B550" s="3" t="s">
        <v>1095</v>
      </c>
      <c r="C550" s="3" t="s">
        <v>234</v>
      </c>
      <c r="D550" s="3" t="s">
        <v>160</v>
      </c>
      <c r="E550" s="3" t="s">
        <v>1100</v>
      </c>
      <c r="F550" s="4">
        <v>43412.65</v>
      </c>
      <c r="G550" s="3"/>
      <c r="H550" s="3"/>
      <c r="I550" s="3" t="s">
        <v>7043</v>
      </c>
      <c r="J550" s="3"/>
      <c r="K550" s="3"/>
      <c r="L550" s="5" t="str">
        <f>HYPERLINK("NATIVE_FILES\FOIA-FWS-2020-00724-0000549.nit","FOIA-FWS-2020-00724-0000549.nit")</f>
        <v>FOIA-FWS-2020-00724-0000549.nit</v>
      </c>
    </row>
    <row r="551" spans="1:12" ht="28.8" x14ac:dyDescent="0.55000000000000004">
      <c r="A551" s="9" t="str">
        <f>HYPERLINK("PDF\FOIA-FWS-2020-00724-0000550.pdf","FOIA-FWS-2020-00724-0000550")</f>
        <v>FOIA-FWS-2020-00724-0000550</v>
      </c>
      <c r="B551" s="3" t="s">
        <v>1095</v>
      </c>
      <c r="C551" s="3" t="s">
        <v>234</v>
      </c>
      <c r="D551" s="3" t="s">
        <v>160</v>
      </c>
      <c r="E551" s="3" t="s">
        <v>1101</v>
      </c>
      <c r="F551" s="4">
        <v>43412.65</v>
      </c>
      <c r="G551" s="3"/>
      <c r="H551" s="3"/>
      <c r="I551" s="3" t="s">
        <v>7043</v>
      </c>
      <c r="J551" s="3"/>
      <c r="K551" s="3"/>
      <c r="L551" s="5" t="str">
        <f>HYPERLINK("NATIVE_FILES\FOIA-FWS-2020-00724-0000550.dat","FOIA-FWS-2020-00724-0000550.dat")</f>
        <v>FOIA-FWS-2020-00724-0000550.dat</v>
      </c>
    </row>
    <row r="552" spans="1:12" ht="28.8" x14ac:dyDescent="0.55000000000000004">
      <c r="A552" s="9" t="str">
        <f>HYPERLINK("PDF\FOIA-FWS-2020-00724-0000551.pdf","FOIA-FWS-2020-00724-0000551")</f>
        <v>FOIA-FWS-2020-00724-0000551</v>
      </c>
      <c r="B552" s="3" t="s">
        <v>1095</v>
      </c>
      <c r="C552" s="3" t="s">
        <v>234</v>
      </c>
      <c r="D552" s="3" t="s">
        <v>160</v>
      </c>
      <c r="E552" s="3" t="s">
        <v>1102</v>
      </c>
      <c r="F552" s="4">
        <v>43412.65</v>
      </c>
      <c r="G552" s="3"/>
      <c r="H552" s="3"/>
      <c r="I552" s="3" t="s">
        <v>7043</v>
      </c>
      <c r="J552" s="3"/>
      <c r="K552" s="3"/>
      <c r="L552" s="5" t="str">
        <f>HYPERLINK("NATIVE_FILES\FOIA-FWS-2020-00724-0000551.nit","FOIA-FWS-2020-00724-0000551.nit")</f>
        <v>FOIA-FWS-2020-00724-0000551.nit</v>
      </c>
    </row>
    <row r="553" spans="1:12" ht="28.8" x14ac:dyDescent="0.55000000000000004">
      <c r="A553" s="9" t="str">
        <f>HYPERLINK("PDF\FOIA-FWS-2020-00724-0000552.pdf","FOIA-FWS-2020-00724-0000552")</f>
        <v>FOIA-FWS-2020-00724-0000552</v>
      </c>
      <c r="B553" s="3" t="s">
        <v>1095</v>
      </c>
      <c r="C553" s="3" t="s">
        <v>234</v>
      </c>
      <c r="D553" s="3" t="s">
        <v>160</v>
      </c>
      <c r="E553" s="3" t="s">
        <v>1103</v>
      </c>
      <c r="F553" s="4">
        <v>43412.65</v>
      </c>
      <c r="G553" s="3"/>
      <c r="H553" s="3"/>
      <c r="I553" s="3" t="s">
        <v>7043</v>
      </c>
      <c r="J553" s="3"/>
      <c r="K553" s="3"/>
      <c r="L553" s="5" t="str">
        <f>HYPERLINK("NATIVE_FILES\FOIA-FWS-2020-00724-0000552.lyr","FOIA-FWS-2020-00724-0000552.lyr")</f>
        <v>FOIA-FWS-2020-00724-0000552.lyr</v>
      </c>
    </row>
    <row r="554" spans="1:12" ht="28.8" x14ac:dyDescent="0.55000000000000004">
      <c r="A554" s="9" t="str">
        <f>HYPERLINK("PDF\FOIA-FWS-2020-00724-0000553.pdf","FOIA-FWS-2020-00724-0000553")</f>
        <v>FOIA-FWS-2020-00724-0000553</v>
      </c>
      <c r="B554" s="3" t="s">
        <v>1095</v>
      </c>
      <c r="C554" s="3" t="s">
        <v>234</v>
      </c>
      <c r="D554" s="3" t="s">
        <v>160</v>
      </c>
      <c r="E554" s="3" t="s">
        <v>1104</v>
      </c>
      <c r="F554" s="4">
        <v>43412.65</v>
      </c>
      <c r="G554" s="3"/>
      <c r="H554" s="3"/>
      <c r="I554" s="3" t="s">
        <v>7043</v>
      </c>
      <c r="J554" s="3"/>
      <c r="K554" s="3"/>
      <c r="L554" s="5" t="str">
        <f>HYPERLINK("NATIVE_FILES\FOIA-FWS-2020-00724-0000553.ovr","FOIA-FWS-2020-00724-0000553.ovr")</f>
        <v>FOIA-FWS-2020-00724-0000553.ovr</v>
      </c>
    </row>
    <row r="555" spans="1:12" ht="28.8" x14ac:dyDescent="0.55000000000000004">
      <c r="A555" s="9" t="str">
        <f>HYPERLINK("PDF\FOIA-FWS-2020-00724-0000554.pdf","FOIA-FWS-2020-00724-0000554")</f>
        <v>FOIA-FWS-2020-00724-0000554</v>
      </c>
      <c r="B555" s="3" t="s">
        <v>1105</v>
      </c>
      <c r="C555" s="3" t="s">
        <v>3</v>
      </c>
      <c r="D555" s="3" t="s">
        <v>33</v>
      </c>
      <c r="E555" s="3" t="s">
        <v>1106</v>
      </c>
      <c r="F555" s="4">
        <v>43412.727777777778</v>
      </c>
      <c r="G555" s="3" t="s">
        <v>1069</v>
      </c>
      <c r="H555" s="3" t="s">
        <v>1070</v>
      </c>
      <c r="I555" s="3" t="s">
        <v>7043</v>
      </c>
      <c r="J555" s="3"/>
      <c r="K555" s="3"/>
      <c r="L555" s="5"/>
    </row>
    <row r="556" spans="1:12" ht="28.8" x14ac:dyDescent="0.55000000000000004">
      <c r="A556" s="9" t="str">
        <f>HYPERLINK("PDF\FOIA-FWS-2020-00724-0000555.pdf","FOIA-FWS-2020-00724-0000555")</f>
        <v>FOIA-FWS-2020-00724-0000555</v>
      </c>
      <c r="B556" s="3" t="s">
        <v>1105</v>
      </c>
      <c r="C556" s="3" t="s">
        <v>234</v>
      </c>
      <c r="D556" s="3" t="s">
        <v>33</v>
      </c>
      <c r="E556" s="3" t="s">
        <v>1107</v>
      </c>
      <c r="F556" s="4">
        <v>43412.727777777778</v>
      </c>
      <c r="G556" s="3"/>
      <c r="H556" s="3"/>
      <c r="I556" s="3" t="s">
        <v>7043</v>
      </c>
      <c r="J556" s="3"/>
      <c r="K556" s="3"/>
      <c r="L556" s="5"/>
    </row>
    <row r="557" spans="1:12" ht="28.8" x14ac:dyDescent="0.55000000000000004">
      <c r="A557" s="9" t="str">
        <f>HYPERLINK("PDF\FOIA-FWS-2020-00724-0000556.pdf","FOIA-FWS-2020-00724-0000556")</f>
        <v>FOIA-FWS-2020-00724-0000556</v>
      </c>
      <c r="B557" s="3" t="s">
        <v>1108</v>
      </c>
      <c r="C557" s="3" t="s">
        <v>3</v>
      </c>
      <c r="D557" s="3" t="s">
        <v>33</v>
      </c>
      <c r="E557" s="3" t="s">
        <v>1109</v>
      </c>
      <c r="F557" s="4">
        <v>43412.772222222222</v>
      </c>
      <c r="G557" s="3" t="s">
        <v>955</v>
      </c>
      <c r="H557" s="3" t="s">
        <v>985</v>
      </c>
      <c r="I557" s="3" t="s">
        <v>7043</v>
      </c>
      <c r="J557" s="3"/>
      <c r="K557" s="3"/>
      <c r="L557" s="5"/>
    </row>
    <row r="558" spans="1:12" ht="28.8" x14ac:dyDescent="0.55000000000000004">
      <c r="A558" s="9" t="str">
        <f>HYPERLINK("PDF\FOIA-FWS-2020-00724-0000557.pdf","FOIA-FWS-2020-00724-0000557")</f>
        <v>FOIA-FWS-2020-00724-0000557</v>
      </c>
      <c r="B558" s="3" t="s">
        <v>1110</v>
      </c>
      <c r="C558" s="3" t="s">
        <v>3</v>
      </c>
      <c r="D558" s="3" t="s">
        <v>33</v>
      </c>
      <c r="E558" s="3" t="s">
        <v>1113</v>
      </c>
      <c r="F558" s="4">
        <v>43418</v>
      </c>
      <c r="G558" s="3" t="s">
        <v>1111</v>
      </c>
      <c r="H558" s="3" t="s">
        <v>1112</v>
      </c>
      <c r="I558" s="3" t="s">
        <v>7043</v>
      </c>
      <c r="J558" s="3"/>
      <c r="K558" s="3"/>
      <c r="L558" s="5"/>
    </row>
    <row r="559" spans="1:12" ht="28.8" x14ac:dyDescent="0.55000000000000004">
      <c r="A559" s="9" t="str">
        <f>HYPERLINK("PDF\FOIA-FWS-2020-00724-0000558.pdf","FOIA-FWS-2020-00724-0000558")</f>
        <v>FOIA-FWS-2020-00724-0000558</v>
      </c>
      <c r="B559" s="3" t="s">
        <v>1114</v>
      </c>
      <c r="C559" s="3" t="s">
        <v>3</v>
      </c>
      <c r="D559" s="3" t="s">
        <v>33</v>
      </c>
      <c r="E559" s="3" t="s">
        <v>1115</v>
      </c>
      <c r="F559" s="4">
        <v>43418.450694444444</v>
      </c>
      <c r="G559" s="3" t="s">
        <v>985</v>
      </c>
      <c r="H559" s="3" t="s">
        <v>955</v>
      </c>
      <c r="I559" s="3" t="s">
        <v>7043</v>
      </c>
      <c r="J559" s="3"/>
      <c r="K559" s="3"/>
      <c r="L559" s="5"/>
    </row>
    <row r="560" spans="1:12" ht="28.8" x14ac:dyDescent="0.55000000000000004">
      <c r="A560" s="9" t="str">
        <f>HYPERLINK("PDF\FOIA-FWS-2020-00724-0000559.pdf","FOIA-FWS-2020-00724-0000559")</f>
        <v>FOIA-FWS-2020-00724-0000559</v>
      </c>
      <c r="B560" s="3" t="s">
        <v>1114</v>
      </c>
      <c r="C560" s="3" t="s">
        <v>234</v>
      </c>
      <c r="D560" s="3" t="s">
        <v>33</v>
      </c>
      <c r="E560" s="3" t="s">
        <v>1107</v>
      </c>
      <c r="F560" s="4">
        <v>43418.450694444444</v>
      </c>
      <c r="G560" s="3"/>
      <c r="H560" s="3"/>
      <c r="I560" s="3" t="s">
        <v>7043</v>
      </c>
      <c r="J560" s="3"/>
      <c r="K560" s="3"/>
      <c r="L560" s="5"/>
    </row>
    <row r="561" spans="1:12" ht="28.8" x14ac:dyDescent="0.55000000000000004">
      <c r="A561" s="9" t="str">
        <f>HYPERLINK("PDF\FOIA-FWS-2020-00724-0000560.pdf","FOIA-FWS-2020-00724-0000560")</f>
        <v>FOIA-FWS-2020-00724-0000560</v>
      </c>
      <c r="B561" s="3" t="s">
        <v>1116</v>
      </c>
      <c r="C561" s="3" t="s">
        <v>3</v>
      </c>
      <c r="D561" s="3" t="s">
        <v>33</v>
      </c>
      <c r="E561" s="3" t="s">
        <v>1117</v>
      </c>
      <c r="F561" s="4">
        <v>43418.51666666667</v>
      </c>
      <c r="G561" s="3" t="s">
        <v>963</v>
      </c>
      <c r="H561" s="3" t="s">
        <v>945</v>
      </c>
      <c r="I561" s="3" t="s">
        <v>7043</v>
      </c>
      <c r="J561" s="3"/>
      <c r="K561" s="3"/>
      <c r="L561" s="5"/>
    </row>
    <row r="562" spans="1:12" ht="28.8" x14ac:dyDescent="0.55000000000000004">
      <c r="A562" s="9" t="str">
        <f>HYPERLINK("PDF\FOIA-FWS-2020-00724-0000561.pdf","FOIA-FWS-2020-00724-0000561")</f>
        <v>FOIA-FWS-2020-00724-0000561</v>
      </c>
      <c r="B562" s="3" t="s">
        <v>1118</v>
      </c>
      <c r="C562" s="3" t="s">
        <v>3</v>
      </c>
      <c r="D562" s="3" t="s">
        <v>33</v>
      </c>
      <c r="E562" s="3" t="s">
        <v>1121</v>
      </c>
      <c r="F562" s="4">
        <v>43418.583333333336</v>
      </c>
      <c r="G562" s="3" t="s">
        <v>1119</v>
      </c>
      <c r="H562" s="3" t="s">
        <v>1120</v>
      </c>
      <c r="I562" s="3" t="s">
        <v>864</v>
      </c>
      <c r="J562" s="3" t="s">
        <v>7046</v>
      </c>
      <c r="K562" s="3" t="s">
        <v>7036</v>
      </c>
      <c r="L562" s="5"/>
    </row>
    <row r="563" spans="1:12" ht="28.8" x14ac:dyDescent="0.55000000000000004">
      <c r="A563" s="9" t="str">
        <f>HYPERLINK("PDF\FOIA-FWS-2020-00724-0000562.pdf","FOIA-FWS-2020-00724-0000562")</f>
        <v>FOIA-FWS-2020-00724-0000562</v>
      </c>
      <c r="B563" s="3" t="s">
        <v>1118</v>
      </c>
      <c r="C563" s="3" t="s">
        <v>234</v>
      </c>
      <c r="D563" s="3" t="s">
        <v>33</v>
      </c>
      <c r="E563" s="3" t="s">
        <v>867</v>
      </c>
      <c r="F563" s="4">
        <v>43418.583333333336</v>
      </c>
      <c r="G563" s="3" t="s">
        <v>1122</v>
      </c>
      <c r="H563" s="3" t="s">
        <v>1123</v>
      </c>
      <c r="I563" s="3" t="s">
        <v>864</v>
      </c>
      <c r="J563" s="3" t="s">
        <v>7046</v>
      </c>
      <c r="K563" s="3" t="s">
        <v>7036</v>
      </c>
      <c r="L563" s="5"/>
    </row>
    <row r="564" spans="1:12" ht="28.8" x14ac:dyDescent="0.55000000000000004">
      <c r="A564" s="9" t="str">
        <f>HYPERLINK("PDF\FOIA-FWS-2020-00724-0000563.pdf","FOIA-FWS-2020-00724-0000563")</f>
        <v>FOIA-FWS-2020-00724-0000563</v>
      </c>
      <c r="B564" s="3" t="s">
        <v>1124</v>
      </c>
      <c r="C564" s="3" t="s">
        <v>3</v>
      </c>
      <c r="D564" s="3" t="s">
        <v>33</v>
      </c>
      <c r="E564" s="3" t="s">
        <v>1125</v>
      </c>
      <c r="F564" s="4">
        <v>43418.645138888889</v>
      </c>
      <c r="G564" s="3" t="s">
        <v>1119</v>
      </c>
      <c r="H564" s="3" t="s">
        <v>945</v>
      </c>
      <c r="I564" s="3" t="s">
        <v>7043</v>
      </c>
      <c r="J564" s="3"/>
      <c r="K564" s="3"/>
      <c r="L564" s="5"/>
    </row>
    <row r="565" spans="1:12" ht="28.8" x14ac:dyDescent="0.55000000000000004">
      <c r="A565" s="9" t="str">
        <f>HYPERLINK("PDF\FOIA-FWS-2020-00724-0000564.pdf","FOIA-FWS-2020-00724-0000564")</f>
        <v>FOIA-FWS-2020-00724-0000564</v>
      </c>
      <c r="B565" s="3" t="s">
        <v>1126</v>
      </c>
      <c r="C565" s="3" t="s">
        <v>3</v>
      </c>
      <c r="D565" s="3" t="s">
        <v>33</v>
      </c>
      <c r="E565" s="3" t="s">
        <v>1128</v>
      </c>
      <c r="F565" s="4">
        <v>43418.647916666669</v>
      </c>
      <c r="G565" s="3" t="s">
        <v>1073</v>
      </c>
      <c r="H565" s="3" t="s">
        <v>1127</v>
      </c>
      <c r="I565" s="3" t="s">
        <v>7043</v>
      </c>
      <c r="J565" s="3"/>
      <c r="K565" s="3"/>
      <c r="L565" s="5"/>
    </row>
    <row r="566" spans="1:12" ht="28.8" x14ac:dyDescent="0.55000000000000004">
      <c r="A566" s="9" t="str">
        <f>HYPERLINK("PDF\FOIA-FWS-2020-00724-0000565.pdf","FOIA-FWS-2020-00724-0000565")</f>
        <v>FOIA-FWS-2020-00724-0000565</v>
      </c>
      <c r="B566" s="3" t="s">
        <v>1126</v>
      </c>
      <c r="C566" s="3" t="s">
        <v>234</v>
      </c>
      <c r="D566" s="3" t="s">
        <v>33</v>
      </c>
      <c r="E566" s="3" t="s">
        <v>1107</v>
      </c>
      <c r="F566" s="4">
        <v>43418.647916666669</v>
      </c>
      <c r="G566" s="3"/>
      <c r="H566" s="3"/>
      <c r="I566" s="3" t="s">
        <v>7043</v>
      </c>
      <c r="J566" s="3"/>
      <c r="K566" s="3"/>
      <c r="L566" s="5"/>
    </row>
    <row r="567" spans="1:12" ht="28.8" x14ac:dyDescent="0.55000000000000004">
      <c r="A567" s="9" t="str">
        <f>HYPERLINK("PDF\FOIA-FWS-2020-00724-0000566.pdf","FOIA-FWS-2020-00724-0000566")</f>
        <v>FOIA-FWS-2020-00724-0000566</v>
      </c>
      <c r="B567" s="3" t="s">
        <v>1129</v>
      </c>
      <c r="C567" s="3" t="s">
        <v>3</v>
      </c>
      <c r="D567" s="3" t="s">
        <v>33</v>
      </c>
      <c r="E567" s="3" t="s">
        <v>1131</v>
      </c>
      <c r="F567" s="4">
        <v>43418.651388888888</v>
      </c>
      <c r="G567" s="3" t="s">
        <v>1073</v>
      </c>
      <c r="H567" s="3" t="s">
        <v>1130</v>
      </c>
      <c r="I567" s="3" t="s">
        <v>7043</v>
      </c>
      <c r="J567" s="3"/>
      <c r="K567" s="3"/>
      <c r="L567" s="5"/>
    </row>
    <row r="568" spans="1:12" ht="28.8" x14ac:dyDescent="0.55000000000000004">
      <c r="A568" s="9" t="str">
        <f>HYPERLINK("PDF\FOIA-FWS-2020-00724-0000567.pdf","FOIA-FWS-2020-00724-0000567")</f>
        <v>FOIA-FWS-2020-00724-0000567</v>
      </c>
      <c r="B568" s="3" t="s">
        <v>1132</v>
      </c>
      <c r="C568" s="3" t="s">
        <v>3</v>
      </c>
      <c r="D568" s="3" t="s">
        <v>33</v>
      </c>
      <c r="E568" s="3" t="s">
        <v>1133</v>
      </c>
      <c r="F568" s="4">
        <v>43418.663194444445</v>
      </c>
      <c r="G568" s="3"/>
      <c r="H568" s="3"/>
      <c r="I568" s="3" t="s">
        <v>7043</v>
      </c>
      <c r="J568" s="3"/>
      <c r="K568" s="3"/>
      <c r="L568" s="5"/>
    </row>
    <row r="569" spans="1:12" ht="28.8" x14ac:dyDescent="0.55000000000000004">
      <c r="A569" s="9" t="str">
        <f>HYPERLINK("PDF\FOIA-FWS-2020-00724-0000568.pdf","FOIA-FWS-2020-00724-0000568")</f>
        <v>FOIA-FWS-2020-00724-0000568</v>
      </c>
      <c r="B569" s="3" t="s">
        <v>1134</v>
      </c>
      <c r="C569" s="3" t="s">
        <v>3</v>
      </c>
      <c r="D569" s="3" t="s">
        <v>33</v>
      </c>
      <c r="E569" s="3" t="s">
        <v>1136</v>
      </c>
      <c r="F569" s="4">
        <v>43418.663194444445</v>
      </c>
      <c r="G569" s="3" t="s">
        <v>985</v>
      </c>
      <c r="H569" s="3" t="s">
        <v>1135</v>
      </c>
      <c r="I569" s="3" t="s">
        <v>7043</v>
      </c>
      <c r="J569" s="3"/>
      <c r="K569" s="3"/>
      <c r="L569" s="5"/>
    </row>
    <row r="570" spans="1:12" ht="28.8" x14ac:dyDescent="0.55000000000000004">
      <c r="A570" s="9" t="str">
        <f>HYPERLINK("PDF\FOIA-FWS-2020-00724-0000569.pdf","FOIA-FWS-2020-00724-0000569")</f>
        <v>FOIA-FWS-2020-00724-0000569</v>
      </c>
      <c r="B570" s="3" t="s">
        <v>1134</v>
      </c>
      <c r="C570" s="3" t="s">
        <v>234</v>
      </c>
      <c r="D570" s="3" t="s">
        <v>33</v>
      </c>
      <c r="E570" s="3" t="s">
        <v>1137</v>
      </c>
      <c r="F570" s="4">
        <v>43418.663194444445</v>
      </c>
      <c r="G570" s="3"/>
      <c r="H570" s="3"/>
      <c r="I570" s="3" t="s">
        <v>7043</v>
      </c>
      <c r="J570" s="3"/>
      <c r="K570" s="3"/>
      <c r="L570" s="5"/>
    </row>
    <row r="571" spans="1:12" ht="28.8" x14ac:dyDescent="0.55000000000000004">
      <c r="A571" s="9" t="str">
        <f>HYPERLINK("PDF\FOIA-FWS-2020-00724-0000570.pdf","FOIA-FWS-2020-00724-0000570")</f>
        <v>FOIA-FWS-2020-00724-0000570</v>
      </c>
      <c r="B571" s="3" t="s">
        <v>1138</v>
      </c>
      <c r="C571" s="3" t="s">
        <v>3</v>
      </c>
      <c r="D571" s="3" t="s">
        <v>33</v>
      </c>
      <c r="E571" s="3" t="s">
        <v>1139</v>
      </c>
      <c r="F571" s="4">
        <v>43418.674305555556</v>
      </c>
      <c r="G571" s="3" t="s">
        <v>1119</v>
      </c>
      <c r="H571" s="3" t="s">
        <v>861</v>
      </c>
      <c r="I571" s="3" t="s">
        <v>7043</v>
      </c>
      <c r="J571" s="3"/>
      <c r="K571" s="3"/>
      <c r="L571" s="5"/>
    </row>
    <row r="572" spans="1:12" ht="129.6" x14ac:dyDescent="0.55000000000000004">
      <c r="A572" s="9" t="str">
        <f>HYPERLINK("PDF\FOIA-FWS-2020-00724-0000571.pdf","FOIA-FWS-2020-00724-0000571")</f>
        <v>FOIA-FWS-2020-00724-0000571</v>
      </c>
      <c r="B572" s="3" t="s">
        <v>1140</v>
      </c>
      <c r="C572" s="3" t="s">
        <v>3</v>
      </c>
      <c r="D572" s="3" t="s">
        <v>33</v>
      </c>
      <c r="E572" s="3" t="s">
        <v>1141</v>
      </c>
      <c r="F572" s="4">
        <v>43418.679166666669</v>
      </c>
      <c r="G572" s="3" t="s">
        <v>7064</v>
      </c>
      <c r="H572" s="3" t="s">
        <v>7067</v>
      </c>
      <c r="I572" s="3" t="s">
        <v>7043</v>
      </c>
      <c r="J572" s="3"/>
      <c r="K572" s="3"/>
      <c r="L572" s="5"/>
    </row>
    <row r="573" spans="1:12" ht="28.8" x14ac:dyDescent="0.55000000000000004">
      <c r="A573" s="9" t="str">
        <f>HYPERLINK("PDF\FOIA-FWS-2020-00724-0000572.pdf","FOIA-FWS-2020-00724-0000572")</f>
        <v>FOIA-FWS-2020-00724-0000572</v>
      </c>
      <c r="B573" s="3" t="s">
        <v>1142</v>
      </c>
      <c r="C573" s="3" t="s">
        <v>3</v>
      </c>
      <c r="D573" s="3" t="s">
        <v>33</v>
      </c>
      <c r="E573" s="3" t="s">
        <v>1143</v>
      </c>
      <c r="F573" s="4">
        <v>43418.722916666666</v>
      </c>
      <c r="G573" s="3" t="s">
        <v>1073</v>
      </c>
      <c r="H573" s="3" t="s">
        <v>1069</v>
      </c>
      <c r="I573" s="3" t="s">
        <v>7043</v>
      </c>
      <c r="J573" s="3"/>
      <c r="K573" s="3"/>
      <c r="L573" s="5"/>
    </row>
    <row r="574" spans="1:12" ht="28.8" x14ac:dyDescent="0.55000000000000004">
      <c r="A574" s="9" t="str">
        <f>HYPERLINK("PDF\FOIA-FWS-2020-00724-0000573.pdf","FOIA-FWS-2020-00724-0000573")</f>
        <v>FOIA-FWS-2020-00724-0000573</v>
      </c>
      <c r="B574" s="3" t="s">
        <v>1142</v>
      </c>
      <c r="C574" s="3" t="s">
        <v>234</v>
      </c>
      <c r="D574" s="3" t="s">
        <v>33</v>
      </c>
      <c r="E574" s="3" t="s">
        <v>1144</v>
      </c>
      <c r="F574" s="4">
        <v>43418.722916666666</v>
      </c>
      <c r="G574" s="3"/>
      <c r="H574" s="3"/>
      <c r="I574" s="3" t="s">
        <v>7043</v>
      </c>
      <c r="J574" s="3"/>
      <c r="K574" s="3"/>
      <c r="L574" s="5"/>
    </row>
    <row r="575" spans="1:12" ht="28.8" x14ac:dyDescent="0.55000000000000004">
      <c r="A575" s="9" t="str">
        <f>HYPERLINK("PDF\FOIA-FWS-2020-00724-0000574.pdf","FOIA-FWS-2020-00724-0000574")</f>
        <v>FOIA-FWS-2020-00724-0000574</v>
      </c>
      <c r="B575" s="3" t="s">
        <v>1142</v>
      </c>
      <c r="C575" s="3" t="s">
        <v>234</v>
      </c>
      <c r="D575" s="3" t="s">
        <v>33</v>
      </c>
      <c r="E575" s="3" t="s">
        <v>1145</v>
      </c>
      <c r="F575" s="4">
        <v>43418.722916666666</v>
      </c>
      <c r="G575" s="3"/>
      <c r="H575" s="3"/>
      <c r="I575" s="3" t="s">
        <v>7043</v>
      </c>
      <c r="J575" s="3"/>
      <c r="K575" s="3"/>
      <c r="L575" s="5"/>
    </row>
    <row r="576" spans="1:12" ht="28.8" x14ac:dyDescent="0.55000000000000004">
      <c r="A576" s="9" t="str">
        <f>HYPERLINK("PDF\FOIA-FWS-2020-00724-0000575.pdf","FOIA-FWS-2020-00724-0000575")</f>
        <v>FOIA-FWS-2020-00724-0000575</v>
      </c>
      <c r="B576" s="3" t="s">
        <v>1146</v>
      </c>
      <c r="C576" s="3" t="s">
        <v>3</v>
      </c>
      <c r="D576" s="3" t="s">
        <v>33</v>
      </c>
      <c r="E576" s="3" t="s">
        <v>1147</v>
      </c>
      <c r="F576" s="4">
        <v>43418.736111111109</v>
      </c>
      <c r="G576" s="3" t="s">
        <v>945</v>
      </c>
      <c r="H576" s="3" t="s">
        <v>1119</v>
      </c>
      <c r="I576" s="3" t="s">
        <v>7043</v>
      </c>
      <c r="J576" s="3"/>
      <c r="K576" s="3"/>
      <c r="L576" s="5"/>
    </row>
    <row r="577" spans="1:12" ht="28.8" x14ac:dyDescent="0.55000000000000004">
      <c r="A577" s="9" t="str">
        <f>HYPERLINK("PDF\FOIA-FWS-2020-00724-0000576.pdf","FOIA-FWS-2020-00724-0000576")</f>
        <v>FOIA-FWS-2020-00724-0000576</v>
      </c>
      <c r="B577" s="3" t="s">
        <v>1148</v>
      </c>
      <c r="C577" s="3" t="s">
        <v>3</v>
      </c>
      <c r="D577" s="3" t="s">
        <v>33</v>
      </c>
      <c r="E577" s="3" t="s">
        <v>1149</v>
      </c>
      <c r="F577" s="4">
        <v>43418.736111111109</v>
      </c>
      <c r="G577" s="3" t="s">
        <v>1069</v>
      </c>
      <c r="H577" s="3" t="s">
        <v>1070</v>
      </c>
      <c r="I577" s="3" t="s">
        <v>7043</v>
      </c>
      <c r="J577" s="3"/>
      <c r="K577" s="3"/>
      <c r="L577" s="5"/>
    </row>
    <row r="578" spans="1:12" ht="28.8" x14ac:dyDescent="0.55000000000000004">
      <c r="A578" s="9" t="str">
        <f>HYPERLINK("PDF\FOIA-FWS-2020-00724-0000577.pdf","FOIA-FWS-2020-00724-0000577")</f>
        <v>FOIA-FWS-2020-00724-0000577</v>
      </c>
      <c r="B578" s="3" t="s">
        <v>1150</v>
      </c>
      <c r="C578" s="3" t="s">
        <v>3</v>
      </c>
      <c r="D578" s="3" t="s">
        <v>33</v>
      </c>
      <c r="E578" s="3" t="s">
        <v>1149</v>
      </c>
      <c r="F578" s="4">
        <v>43418.777777777781</v>
      </c>
      <c r="G578" s="3" t="s">
        <v>1151</v>
      </c>
      <c r="H578" s="3" t="s">
        <v>1152</v>
      </c>
      <c r="I578" s="3" t="s">
        <v>7043</v>
      </c>
      <c r="J578" s="3"/>
      <c r="K578" s="3"/>
      <c r="L578" s="5"/>
    </row>
    <row r="579" spans="1:12" ht="28.8" x14ac:dyDescent="0.55000000000000004">
      <c r="A579" s="9" t="str">
        <f>HYPERLINK("PDF\FOIA-FWS-2020-00724-0000578.pdf","FOIA-FWS-2020-00724-0000578")</f>
        <v>FOIA-FWS-2020-00724-0000578</v>
      </c>
      <c r="B579" s="3" t="s">
        <v>1150</v>
      </c>
      <c r="C579" s="3" t="s">
        <v>234</v>
      </c>
      <c r="D579" s="3" t="s">
        <v>160</v>
      </c>
      <c r="E579" s="3" t="s">
        <v>1153</v>
      </c>
      <c r="F579" s="4">
        <v>43418.777777777781</v>
      </c>
      <c r="G579" s="3"/>
      <c r="H579" s="3"/>
      <c r="I579" s="3" t="s">
        <v>7043</v>
      </c>
      <c r="J579" s="3"/>
      <c r="K579" s="3"/>
      <c r="L579" s="5" t="str">
        <f>HYPERLINK("NATIVE_FILES\FOIA-FWS-2020-00724-0000578.dbf","FOIA-FWS-2020-00724-0000578.dbf")</f>
        <v>FOIA-FWS-2020-00724-0000578.dbf</v>
      </c>
    </row>
    <row r="580" spans="1:12" ht="28.8" x14ac:dyDescent="0.55000000000000004">
      <c r="A580" s="9" t="str">
        <f>HYPERLINK("PDF\FOIA-FWS-2020-00724-0000579.pdf","FOIA-FWS-2020-00724-0000579")</f>
        <v>FOIA-FWS-2020-00724-0000579</v>
      </c>
      <c r="B580" s="3" t="s">
        <v>1150</v>
      </c>
      <c r="C580" s="3" t="s">
        <v>234</v>
      </c>
      <c r="D580" s="3" t="s">
        <v>160</v>
      </c>
      <c r="E580" s="3" t="s">
        <v>1154</v>
      </c>
      <c r="F580" s="4">
        <v>43418.777777777781</v>
      </c>
      <c r="G580" s="3"/>
      <c r="H580" s="3"/>
      <c r="I580" s="3" t="s">
        <v>7043</v>
      </c>
      <c r="J580" s="3"/>
      <c r="K580" s="3"/>
      <c r="L580" s="5" t="str">
        <f>HYPERLINK("NATIVE_FILES\FOIA-FWS-2020-00724-0000579.prj","FOIA-FWS-2020-00724-0000579.prj")</f>
        <v>FOIA-FWS-2020-00724-0000579.prj</v>
      </c>
    </row>
    <row r="581" spans="1:12" ht="28.8" x14ac:dyDescent="0.55000000000000004">
      <c r="A581" s="9" t="str">
        <f>HYPERLINK("PDF\FOIA-FWS-2020-00724-0000580.pdf","FOIA-FWS-2020-00724-0000580")</f>
        <v>FOIA-FWS-2020-00724-0000580</v>
      </c>
      <c r="B581" s="3" t="s">
        <v>1150</v>
      </c>
      <c r="C581" s="3" t="s">
        <v>234</v>
      </c>
      <c r="D581" s="3" t="s">
        <v>160</v>
      </c>
      <c r="E581" s="3" t="s">
        <v>1155</v>
      </c>
      <c r="F581" s="4">
        <v>43418.777777777781</v>
      </c>
      <c r="G581" s="3"/>
      <c r="H581" s="3"/>
      <c r="I581" s="3" t="s">
        <v>7043</v>
      </c>
      <c r="J581" s="3"/>
      <c r="K581" s="3"/>
      <c r="L581" s="5" t="str">
        <f>HYPERLINK("NATIVE_FILES\FOIA-FWS-2020-00724-0000580.sbn","FOIA-FWS-2020-00724-0000580.sbn")</f>
        <v>FOIA-FWS-2020-00724-0000580.sbn</v>
      </c>
    </row>
    <row r="582" spans="1:12" ht="28.8" x14ac:dyDescent="0.55000000000000004">
      <c r="A582" s="9" t="str">
        <f>HYPERLINK("PDF\FOIA-FWS-2020-00724-0000581.pdf","FOIA-FWS-2020-00724-0000581")</f>
        <v>FOIA-FWS-2020-00724-0000581</v>
      </c>
      <c r="B582" s="3" t="s">
        <v>1150</v>
      </c>
      <c r="C582" s="3" t="s">
        <v>234</v>
      </c>
      <c r="D582" s="3" t="s">
        <v>160</v>
      </c>
      <c r="E582" s="3" t="s">
        <v>1156</v>
      </c>
      <c r="F582" s="4">
        <v>43418.777777777781</v>
      </c>
      <c r="G582" s="3"/>
      <c r="H582" s="3"/>
      <c r="I582" s="3" t="s">
        <v>7043</v>
      </c>
      <c r="J582" s="3"/>
      <c r="K582" s="3"/>
      <c r="L582" s="5" t="str">
        <f>HYPERLINK("NATIVE_FILES\FOIA-FWS-2020-00724-0000581.sbx","FOIA-FWS-2020-00724-0000581.sbx")</f>
        <v>FOIA-FWS-2020-00724-0000581.sbx</v>
      </c>
    </row>
    <row r="583" spans="1:12" ht="28.8" x14ac:dyDescent="0.55000000000000004">
      <c r="A583" s="9" t="str">
        <f>HYPERLINK("PDF\FOIA-FWS-2020-00724-0000582.pdf","FOIA-FWS-2020-00724-0000582")</f>
        <v>FOIA-FWS-2020-00724-0000582</v>
      </c>
      <c r="B583" s="3" t="s">
        <v>1150</v>
      </c>
      <c r="C583" s="3" t="s">
        <v>234</v>
      </c>
      <c r="D583" s="3" t="s">
        <v>160</v>
      </c>
      <c r="E583" s="3" t="s">
        <v>1157</v>
      </c>
      <c r="F583" s="4">
        <v>43418.777777777781</v>
      </c>
      <c r="G583" s="3"/>
      <c r="H583" s="3"/>
      <c r="I583" s="3" t="s">
        <v>7043</v>
      </c>
      <c r="J583" s="3"/>
      <c r="K583" s="3"/>
      <c r="L583" s="5" t="str">
        <f>HYPERLINK("NATIVE_FILES\FOIA-FWS-2020-00724-0000582.shp","FOIA-FWS-2020-00724-0000582.shp")</f>
        <v>FOIA-FWS-2020-00724-0000582.shp</v>
      </c>
    </row>
    <row r="584" spans="1:12" ht="28.8" x14ac:dyDescent="0.55000000000000004">
      <c r="A584" s="9" t="str">
        <f>HYPERLINK("PDF\FOIA-FWS-2020-00724-0000583.pdf","FOIA-FWS-2020-00724-0000583")</f>
        <v>FOIA-FWS-2020-00724-0000583</v>
      </c>
      <c r="B584" s="3" t="s">
        <v>1150</v>
      </c>
      <c r="C584" s="3" t="s">
        <v>234</v>
      </c>
      <c r="D584" s="3" t="s">
        <v>160</v>
      </c>
      <c r="E584" s="3" t="s">
        <v>1158</v>
      </c>
      <c r="F584" s="4">
        <v>43418.777777777781</v>
      </c>
      <c r="G584" s="3"/>
      <c r="H584" s="3"/>
      <c r="I584" s="3" t="s">
        <v>7043</v>
      </c>
      <c r="J584" s="3"/>
      <c r="K584" s="3"/>
      <c r="L584" s="5" t="str">
        <f>HYPERLINK("NATIVE_FILES\FOIA-FWS-2020-00724-0000583.xml","FOIA-FWS-2020-00724-0000583.xml")</f>
        <v>FOIA-FWS-2020-00724-0000583.xml</v>
      </c>
    </row>
    <row r="585" spans="1:12" ht="28.8" x14ac:dyDescent="0.55000000000000004">
      <c r="A585" s="9" t="str">
        <f>HYPERLINK("PDF\FOIA-FWS-2020-00724-0000584.pdf","FOIA-FWS-2020-00724-0000584")</f>
        <v>FOIA-FWS-2020-00724-0000584</v>
      </c>
      <c r="B585" s="3" t="s">
        <v>1150</v>
      </c>
      <c r="C585" s="3" t="s">
        <v>234</v>
      </c>
      <c r="D585" s="3" t="s">
        <v>160</v>
      </c>
      <c r="E585" s="3" t="s">
        <v>1159</v>
      </c>
      <c r="F585" s="4">
        <v>43418.777777777781</v>
      </c>
      <c r="G585" s="3"/>
      <c r="H585" s="3"/>
      <c r="I585" s="3" t="s">
        <v>7043</v>
      </c>
      <c r="J585" s="3"/>
      <c r="K585" s="3"/>
      <c r="L585" s="5" t="str">
        <f>HYPERLINK("NATIVE_FILES\FOIA-FWS-2020-00724-0000584.shx","FOIA-FWS-2020-00724-0000584.shx")</f>
        <v>FOIA-FWS-2020-00724-0000584.shx</v>
      </c>
    </row>
    <row r="586" spans="1:12" ht="28.8" x14ac:dyDescent="0.55000000000000004">
      <c r="A586" s="9" t="str">
        <f>HYPERLINK("PDF\FOIA-FWS-2020-00724-0000585.pdf","FOIA-FWS-2020-00724-0000585")</f>
        <v>FOIA-FWS-2020-00724-0000585</v>
      </c>
      <c r="B586" s="3" t="s">
        <v>1150</v>
      </c>
      <c r="C586" s="3" t="s">
        <v>234</v>
      </c>
      <c r="D586" s="3" t="s">
        <v>160</v>
      </c>
      <c r="E586" s="3" t="s">
        <v>1160</v>
      </c>
      <c r="F586" s="4">
        <v>43418.777777777781</v>
      </c>
      <c r="G586" s="3"/>
      <c r="H586" s="3"/>
      <c r="I586" s="3" t="s">
        <v>7043</v>
      </c>
      <c r="J586" s="3"/>
      <c r="K586" s="3"/>
      <c r="L586" s="5" t="str">
        <f>HYPERLINK("NATIVE_FILES\FOIA-FWS-2020-00724-0000585.dbf","FOIA-FWS-2020-00724-0000585.dbf")</f>
        <v>FOIA-FWS-2020-00724-0000585.dbf</v>
      </c>
    </row>
    <row r="587" spans="1:12" ht="28.8" x14ac:dyDescent="0.55000000000000004">
      <c r="A587" s="9" t="str">
        <f>HYPERLINK("PDF\FOIA-FWS-2020-00724-0000586.pdf","FOIA-FWS-2020-00724-0000586")</f>
        <v>FOIA-FWS-2020-00724-0000586</v>
      </c>
      <c r="B587" s="3" t="s">
        <v>1150</v>
      </c>
      <c r="C587" s="3" t="s">
        <v>234</v>
      </c>
      <c r="D587" s="3" t="s">
        <v>160</v>
      </c>
      <c r="E587" s="3" t="s">
        <v>1161</v>
      </c>
      <c r="F587" s="4">
        <v>43418.777777777781</v>
      </c>
      <c r="G587" s="3"/>
      <c r="H587" s="3"/>
      <c r="I587" s="3" t="s">
        <v>7043</v>
      </c>
      <c r="J587" s="3"/>
      <c r="K587" s="3"/>
      <c r="L587" s="5" t="str">
        <f>HYPERLINK("NATIVE_FILES\FOIA-FWS-2020-00724-0000586.prj","FOIA-FWS-2020-00724-0000586.prj")</f>
        <v>FOIA-FWS-2020-00724-0000586.prj</v>
      </c>
    </row>
    <row r="588" spans="1:12" ht="28.8" x14ac:dyDescent="0.55000000000000004">
      <c r="A588" s="9" t="str">
        <f>HYPERLINK("PDF\FOIA-FWS-2020-00724-0000587.pdf","FOIA-FWS-2020-00724-0000587")</f>
        <v>FOIA-FWS-2020-00724-0000587</v>
      </c>
      <c r="B588" s="3" t="s">
        <v>1150</v>
      </c>
      <c r="C588" s="3" t="s">
        <v>234</v>
      </c>
      <c r="D588" s="3" t="s">
        <v>160</v>
      </c>
      <c r="E588" s="3" t="s">
        <v>1162</v>
      </c>
      <c r="F588" s="4">
        <v>43418.777777777781</v>
      </c>
      <c r="G588" s="3"/>
      <c r="H588" s="3"/>
      <c r="I588" s="3" t="s">
        <v>7043</v>
      </c>
      <c r="J588" s="3"/>
      <c r="K588" s="3"/>
      <c r="L588" s="5" t="str">
        <f>HYPERLINK("NATIVE_FILES\FOIA-FWS-2020-00724-0000587.sbn","FOIA-FWS-2020-00724-0000587.sbn")</f>
        <v>FOIA-FWS-2020-00724-0000587.sbn</v>
      </c>
    </row>
    <row r="589" spans="1:12" ht="28.8" x14ac:dyDescent="0.55000000000000004">
      <c r="A589" s="9" t="str">
        <f>HYPERLINK("PDF\FOIA-FWS-2020-00724-0000588.pdf","FOIA-FWS-2020-00724-0000588")</f>
        <v>FOIA-FWS-2020-00724-0000588</v>
      </c>
      <c r="B589" s="3" t="s">
        <v>1150</v>
      </c>
      <c r="C589" s="3" t="s">
        <v>234</v>
      </c>
      <c r="D589" s="3" t="s">
        <v>160</v>
      </c>
      <c r="E589" s="3" t="s">
        <v>1163</v>
      </c>
      <c r="F589" s="4">
        <v>43418.777777777781</v>
      </c>
      <c r="G589" s="3"/>
      <c r="H589" s="3"/>
      <c r="I589" s="3" t="s">
        <v>7043</v>
      </c>
      <c r="J589" s="3"/>
      <c r="K589" s="3"/>
      <c r="L589" s="5" t="str">
        <f>HYPERLINK("NATIVE_FILES\FOIA-FWS-2020-00724-0000588.sbx","FOIA-FWS-2020-00724-0000588.sbx")</f>
        <v>FOIA-FWS-2020-00724-0000588.sbx</v>
      </c>
    </row>
    <row r="590" spans="1:12" ht="28.8" x14ac:dyDescent="0.55000000000000004">
      <c r="A590" s="9" t="str">
        <f>HYPERLINK("PDF\FOIA-FWS-2020-00724-0000589.pdf","FOIA-FWS-2020-00724-0000589")</f>
        <v>FOIA-FWS-2020-00724-0000589</v>
      </c>
      <c r="B590" s="3" t="s">
        <v>1150</v>
      </c>
      <c r="C590" s="3" t="s">
        <v>234</v>
      </c>
      <c r="D590" s="3" t="s">
        <v>160</v>
      </c>
      <c r="E590" s="3" t="s">
        <v>1164</v>
      </c>
      <c r="F590" s="4">
        <v>43418.777777777781</v>
      </c>
      <c r="G590" s="3"/>
      <c r="H590" s="3"/>
      <c r="I590" s="3" t="s">
        <v>7043</v>
      </c>
      <c r="J590" s="3"/>
      <c r="K590" s="3"/>
      <c r="L590" s="5" t="str">
        <f>HYPERLINK("NATIVE_FILES\FOIA-FWS-2020-00724-0000589.shp","FOIA-FWS-2020-00724-0000589.shp")</f>
        <v>FOIA-FWS-2020-00724-0000589.shp</v>
      </c>
    </row>
    <row r="591" spans="1:12" ht="28.8" x14ac:dyDescent="0.55000000000000004">
      <c r="A591" s="9" t="str">
        <f>HYPERLINK("PDF\FOIA-FWS-2020-00724-0000590.pdf","FOIA-FWS-2020-00724-0000590")</f>
        <v>FOIA-FWS-2020-00724-0000590</v>
      </c>
      <c r="B591" s="3" t="s">
        <v>1150</v>
      </c>
      <c r="C591" s="3" t="s">
        <v>234</v>
      </c>
      <c r="D591" s="3" t="s">
        <v>160</v>
      </c>
      <c r="E591" s="3" t="s">
        <v>1165</v>
      </c>
      <c r="F591" s="4">
        <v>43418.777777777781</v>
      </c>
      <c r="G591" s="3"/>
      <c r="H591" s="3"/>
      <c r="I591" s="3" t="s">
        <v>7043</v>
      </c>
      <c r="J591" s="3"/>
      <c r="K591" s="3"/>
      <c r="L591" s="5" t="str">
        <f>HYPERLINK("NATIVE_FILES\FOIA-FWS-2020-00724-0000590.xml","FOIA-FWS-2020-00724-0000590.xml")</f>
        <v>FOIA-FWS-2020-00724-0000590.xml</v>
      </c>
    </row>
    <row r="592" spans="1:12" ht="28.8" x14ac:dyDescent="0.55000000000000004">
      <c r="A592" s="9" t="str">
        <f>HYPERLINK("PDF\FOIA-FWS-2020-00724-0000591.pdf","FOIA-FWS-2020-00724-0000591")</f>
        <v>FOIA-FWS-2020-00724-0000591</v>
      </c>
      <c r="B592" s="3" t="s">
        <v>1150</v>
      </c>
      <c r="C592" s="3" t="s">
        <v>234</v>
      </c>
      <c r="D592" s="3" t="s">
        <v>160</v>
      </c>
      <c r="E592" s="3" t="s">
        <v>1166</v>
      </c>
      <c r="F592" s="4">
        <v>43418.777777777781</v>
      </c>
      <c r="G592" s="3"/>
      <c r="H592" s="3"/>
      <c r="I592" s="3" t="s">
        <v>7043</v>
      </c>
      <c r="J592" s="3"/>
      <c r="K592" s="3"/>
      <c r="L592" s="5" t="str">
        <f>HYPERLINK("NATIVE_FILES\FOIA-FWS-2020-00724-0000591.shx","FOIA-FWS-2020-00724-0000591.shx")</f>
        <v>FOIA-FWS-2020-00724-0000591.shx</v>
      </c>
    </row>
    <row r="593" spans="1:12" ht="28.8" x14ac:dyDescent="0.55000000000000004">
      <c r="A593" s="9" t="str">
        <f>HYPERLINK("PDF\FOIA-FWS-2020-00724-0000592.pdf","FOIA-FWS-2020-00724-0000592")</f>
        <v>FOIA-FWS-2020-00724-0000592</v>
      </c>
      <c r="B593" s="3" t="s">
        <v>1150</v>
      </c>
      <c r="C593" s="3" t="s">
        <v>234</v>
      </c>
      <c r="D593" s="3" t="s">
        <v>160</v>
      </c>
      <c r="E593" s="3" t="s">
        <v>1167</v>
      </c>
      <c r="F593" s="4">
        <v>43418.777777777781</v>
      </c>
      <c r="G593" s="3"/>
      <c r="H593" s="3"/>
      <c r="I593" s="3" t="s">
        <v>7043</v>
      </c>
      <c r="J593" s="3"/>
      <c r="K593" s="3"/>
      <c r="L593" s="5"/>
    </row>
    <row r="594" spans="1:12" ht="43.2" x14ac:dyDescent="0.55000000000000004">
      <c r="A594" s="9" t="str">
        <f>HYPERLINK("PDF\FOIA-FWS-2020-00724-0000593.pdf","FOIA-FWS-2020-00724-0000593")</f>
        <v>FOIA-FWS-2020-00724-0000593</v>
      </c>
      <c r="B594" s="3" t="s">
        <v>1168</v>
      </c>
      <c r="C594" s="3" t="s">
        <v>3</v>
      </c>
      <c r="D594" s="3" t="s">
        <v>160</v>
      </c>
      <c r="E594" s="3" t="s">
        <v>1169</v>
      </c>
      <c r="F594" s="4">
        <v>43419</v>
      </c>
      <c r="G594" s="3"/>
      <c r="H594" s="3"/>
      <c r="I594" s="3" t="s">
        <v>7043</v>
      </c>
      <c r="J594" s="3"/>
      <c r="K594" s="3"/>
      <c r="L594" s="5"/>
    </row>
    <row r="595" spans="1:12" ht="57.6" x14ac:dyDescent="0.55000000000000004">
      <c r="A595" s="9" t="str">
        <f>HYPERLINK("PDF\FOIA-FWS-2020-00724-0000594.pdf","FOIA-FWS-2020-00724-0000594")</f>
        <v>FOIA-FWS-2020-00724-0000594</v>
      </c>
      <c r="B595" s="3" t="s">
        <v>1170</v>
      </c>
      <c r="C595" s="3" t="s">
        <v>3</v>
      </c>
      <c r="D595" s="3" t="s">
        <v>160</v>
      </c>
      <c r="E595" s="3" t="s">
        <v>1171</v>
      </c>
      <c r="F595" s="4">
        <v>43419</v>
      </c>
      <c r="G595" s="3"/>
      <c r="H595" s="3"/>
      <c r="I595" s="3" t="s">
        <v>7043</v>
      </c>
      <c r="J595" s="3"/>
      <c r="K595" s="3"/>
      <c r="L595" s="5"/>
    </row>
    <row r="596" spans="1:12" ht="43.2" x14ac:dyDescent="0.55000000000000004">
      <c r="A596" s="9" t="str">
        <f>HYPERLINK("PDF\FOIA-FWS-2020-00724-0000595.pdf","FOIA-FWS-2020-00724-0000595")</f>
        <v>FOIA-FWS-2020-00724-0000595</v>
      </c>
      <c r="B596" s="3" t="s">
        <v>1172</v>
      </c>
      <c r="C596" s="3" t="s">
        <v>3</v>
      </c>
      <c r="D596" s="3" t="s">
        <v>33</v>
      </c>
      <c r="E596" s="3" t="s">
        <v>1173</v>
      </c>
      <c r="F596" s="4">
        <v>43419</v>
      </c>
      <c r="G596" s="3"/>
      <c r="H596" s="3"/>
      <c r="I596" s="3" t="s">
        <v>7043</v>
      </c>
      <c r="J596" s="3"/>
      <c r="K596" s="3"/>
      <c r="L596" s="5"/>
    </row>
    <row r="597" spans="1:12" ht="28.8" x14ac:dyDescent="0.55000000000000004">
      <c r="A597" s="9" t="str">
        <f>HYPERLINK("PDF\FOIA-FWS-2020-00724-0000596.pdf","FOIA-FWS-2020-00724-0000596")</f>
        <v>FOIA-FWS-2020-00724-0000596</v>
      </c>
      <c r="B597" s="3" t="s">
        <v>1174</v>
      </c>
      <c r="C597" s="3" t="s">
        <v>3</v>
      </c>
      <c r="D597" s="3" t="s">
        <v>4</v>
      </c>
      <c r="E597" s="3" t="s">
        <v>1175</v>
      </c>
      <c r="F597" s="4">
        <v>43419</v>
      </c>
      <c r="G597" s="3"/>
      <c r="H597" s="3"/>
      <c r="I597" s="3" t="s">
        <v>7043</v>
      </c>
      <c r="J597" s="3"/>
      <c r="K597" s="3"/>
      <c r="L597" s="5"/>
    </row>
    <row r="598" spans="1:12" ht="28.8" x14ac:dyDescent="0.55000000000000004">
      <c r="A598" s="9" t="str">
        <f>HYPERLINK("PDF\FOIA-FWS-2020-00724-0000597.pdf","FOIA-FWS-2020-00724-0000597")</f>
        <v>FOIA-FWS-2020-00724-0000597</v>
      </c>
      <c r="B598" s="3" t="s">
        <v>1176</v>
      </c>
      <c r="C598" s="3" t="s">
        <v>3</v>
      </c>
      <c r="D598" s="3" t="s">
        <v>33</v>
      </c>
      <c r="E598" s="3" t="s">
        <v>1177</v>
      </c>
      <c r="F598" s="4">
        <v>43419.538888888892</v>
      </c>
      <c r="G598" s="3" t="s">
        <v>963</v>
      </c>
      <c r="H598" s="3" t="s">
        <v>1012</v>
      </c>
      <c r="I598" s="3" t="s">
        <v>7043</v>
      </c>
      <c r="J598" s="3"/>
      <c r="K598" s="3"/>
      <c r="L598" s="5"/>
    </row>
    <row r="599" spans="1:12" ht="28.8" x14ac:dyDescent="0.55000000000000004">
      <c r="A599" s="9" t="str">
        <f>HYPERLINK("PDF\FOIA-FWS-2020-00724-0000598.pdf","FOIA-FWS-2020-00724-0000598")</f>
        <v>FOIA-FWS-2020-00724-0000598</v>
      </c>
      <c r="B599" s="3" t="s">
        <v>1176</v>
      </c>
      <c r="C599" s="3" t="s">
        <v>234</v>
      </c>
      <c r="D599" s="3" t="s">
        <v>33</v>
      </c>
      <c r="E599" s="3" t="s">
        <v>1022</v>
      </c>
      <c r="F599" s="4">
        <v>43419.538888888892</v>
      </c>
      <c r="G599" s="3"/>
      <c r="H599" s="3"/>
      <c r="I599" s="3" t="s">
        <v>7043</v>
      </c>
      <c r="J599" s="3"/>
      <c r="K599" s="3"/>
      <c r="L599" s="5"/>
    </row>
    <row r="600" spans="1:12" ht="28.8" x14ac:dyDescent="0.55000000000000004">
      <c r="A600" s="9" t="str">
        <f>HYPERLINK("PDF\FOIA-FWS-2020-00724-0000599.pdf","FOIA-FWS-2020-00724-0000599")</f>
        <v>FOIA-FWS-2020-00724-0000599</v>
      </c>
      <c r="B600" s="3" t="s">
        <v>1178</v>
      </c>
      <c r="C600" s="3" t="s">
        <v>3</v>
      </c>
      <c r="D600" s="3" t="s">
        <v>33</v>
      </c>
      <c r="E600" s="3" t="s">
        <v>1180</v>
      </c>
      <c r="F600" s="4">
        <v>43419.728472222225</v>
      </c>
      <c r="G600" s="3" t="s">
        <v>1073</v>
      </c>
      <c r="H600" s="3" t="s">
        <v>1179</v>
      </c>
      <c r="I600" s="3" t="s">
        <v>7043</v>
      </c>
      <c r="J600" s="3"/>
      <c r="K600" s="3"/>
      <c r="L600" s="5"/>
    </row>
    <row r="601" spans="1:12" ht="28.8" x14ac:dyDescent="0.55000000000000004">
      <c r="A601" s="9" t="str">
        <f>HYPERLINK("PDF\FOIA-FWS-2020-00724-0000600.pdf","FOIA-FWS-2020-00724-0000600")</f>
        <v>FOIA-FWS-2020-00724-0000600</v>
      </c>
      <c r="B601" s="3" t="s">
        <v>1178</v>
      </c>
      <c r="C601" s="3" t="s">
        <v>234</v>
      </c>
      <c r="D601" s="3" t="s">
        <v>33</v>
      </c>
      <c r="E601" s="3" t="s">
        <v>1144</v>
      </c>
      <c r="F601" s="4">
        <v>43419.728472222225</v>
      </c>
      <c r="G601" s="3"/>
      <c r="H601" s="3"/>
      <c r="I601" s="3" t="s">
        <v>7043</v>
      </c>
      <c r="J601" s="3"/>
      <c r="K601" s="3"/>
      <c r="L601" s="5"/>
    </row>
    <row r="602" spans="1:12" ht="28.8" x14ac:dyDescent="0.55000000000000004">
      <c r="A602" s="9" t="str">
        <f>HYPERLINK("PDF\FOIA-FWS-2020-00724-0000601.pdf","FOIA-FWS-2020-00724-0000601")</f>
        <v>FOIA-FWS-2020-00724-0000601</v>
      </c>
      <c r="B602" s="3" t="s">
        <v>1178</v>
      </c>
      <c r="C602" s="3" t="s">
        <v>234</v>
      </c>
      <c r="D602" s="3" t="s">
        <v>33</v>
      </c>
      <c r="E602" s="3" t="s">
        <v>1145</v>
      </c>
      <c r="F602" s="4">
        <v>43419.728472222225</v>
      </c>
      <c r="G602" s="3"/>
      <c r="H602" s="3"/>
      <c r="I602" s="3" t="s">
        <v>7043</v>
      </c>
      <c r="J602" s="3"/>
      <c r="K602" s="3"/>
      <c r="L602" s="5"/>
    </row>
    <row r="603" spans="1:12" ht="28.8" x14ac:dyDescent="0.55000000000000004">
      <c r="A603" s="9" t="str">
        <f>HYPERLINK("PDF\FOIA-FWS-2020-00724-0000602.pdf","FOIA-FWS-2020-00724-0000602")</f>
        <v>FOIA-FWS-2020-00724-0000602</v>
      </c>
      <c r="B603" s="3" t="s">
        <v>1181</v>
      </c>
      <c r="C603" s="3" t="s">
        <v>3</v>
      </c>
      <c r="D603" s="3" t="s">
        <v>33</v>
      </c>
      <c r="E603" s="3" t="s">
        <v>1182</v>
      </c>
      <c r="F603" s="4">
        <v>43419.756249999999</v>
      </c>
      <c r="G603" s="3" t="s">
        <v>955</v>
      </c>
      <c r="H603" s="3" t="s">
        <v>1119</v>
      </c>
      <c r="I603" s="3" t="s">
        <v>7043</v>
      </c>
      <c r="J603" s="3"/>
      <c r="K603" s="3"/>
      <c r="L603" s="5"/>
    </row>
    <row r="604" spans="1:12" ht="57.6" x14ac:dyDescent="0.55000000000000004">
      <c r="A604" s="9" t="str">
        <f>HYPERLINK("PDF\FOIA-FWS-2020-00724-0000603.pdf","FOIA-FWS-2020-00724-0000603")</f>
        <v>FOIA-FWS-2020-00724-0000603</v>
      </c>
      <c r="B604" s="3" t="s">
        <v>1183</v>
      </c>
      <c r="C604" s="3" t="s">
        <v>3</v>
      </c>
      <c r="D604" s="3" t="s">
        <v>33</v>
      </c>
      <c r="E604" s="3" t="s">
        <v>1185</v>
      </c>
      <c r="F604" s="4">
        <v>43419.796527777777</v>
      </c>
      <c r="G604" s="3" t="s">
        <v>1184</v>
      </c>
      <c r="H604" s="3" t="s">
        <v>1073</v>
      </c>
      <c r="I604" s="3" t="s">
        <v>7043</v>
      </c>
      <c r="J604" s="3"/>
      <c r="K604" s="3"/>
      <c r="L604" s="5"/>
    </row>
    <row r="605" spans="1:12" ht="28.8" x14ac:dyDescent="0.55000000000000004">
      <c r="A605" s="9" t="str">
        <f>HYPERLINK("PDF\FOIA-FWS-2020-00724-0000604.pdf","FOIA-FWS-2020-00724-0000604")</f>
        <v>FOIA-FWS-2020-00724-0000604</v>
      </c>
      <c r="B605" s="3" t="s">
        <v>1186</v>
      </c>
      <c r="C605" s="3" t="s">
        <v>3</v>
      </c>
      <c r="D605" s="3" t="s">
        <v>33</v>
      </c>
      <c r="E605" s="3" t="s">
        <v>1187</v>
      </c>
      <c r="F605" s="4">
        <v>43419.886805555558</v>
      </c>
      <c r="G605" s="3" t="s">
        <v>1069</v>
      </c>
      <c r="H605" s="3" t="s">
        <v>1070</v>
      </c>
      <c r="I605" s="3" t="s">
        <v>7043</v>
      </c>
      <c r="J605" s="3"/>
      <c r="K605" s="3"/>
      <c r="L605" s="5"/>
    </row>
    <row r="606" spans="1:12" ht="28.8" x14ac:dyDescent="0.55000000000000004">
      <c r="A606" s="9" t="str">
        <f>HYPERLINK("PDF\FOIA-FWS-2020-00724-0000605.pdf","FOIA-FWS-2020-00724-0000605")</f>
        <v>FOIA-FWS-2020-00724-0000605</v>
      </c>
      <c r="B606" s="3" t="s">
        <v>1186</v>
      </c>
      <c r="C606" s="3" t="s">
        <v>234</v>
      </c>
      <c r="D606" s="3" t="s">
        <v>33</v>
      </c>
      <c r="E606" s="3" t="s">
        <v>1188</v>
      </c>
      <c r="F606" s="4">
        <v>43419.886805555558</v>
      </c>
      <c r="G606" s="3"/>
      <c r="H606" s="3"/>
      <c r="I606" s="3" t="s">
        <v>7043</v>
      </c>
      <c r="J606" s="3"/>
      <c r="K606" s="3"/>
      <c r="L606" s="5"/>
    </row>
    <row r="607" spans="1:12" ht="28.8" x14ac:dyDescent="0.55000000000000004">
      <c r="A607" s="9" t="str">
        <f>HYPERLINK("PDF\FOIA-FWS-2020-00724-0000606.pdf","FOIA-FWS-2020-00724-0000606")</f>
        <v>FOIA-FWS-2020-00724-0000606</v>
      </c>
      <c r="B607" s="3" t="s">
        <v>1186</v>
      </c>
      <c r="C607" s="3" t="s">
        <v>234</v>
      </c>
      <c r="D607" s="3" t="s">
        <v>33</v>
      </c>
      <c r="E607" s="3" t="s">
        <v>1189</v>
      </c>
      <c r="F607" s="4">
        <v>43419.886805555558</v>
      </c>
      <c r="G607" s="3"/>
      <c r="H607" s="3"/>
      <c r="I607" s="3" t="s">
        <v>7043</v>
      </c>
      <c r="J607" s="3"/>
      <c r="K607" s="3"/>
      <c r="L607" s="5"/>
    </row>
    <row r="608" spans="1:12" ht="28.8" x14ac:dyDescent="0.55000000000000004">
      <c r="A608" s="9" t="str">
        <f>HYPERLINK("PDF\FOIA-FWS-2020-00724-0000607.pdf","FOIA-FWS-2020-00724-0000607")</f>
        <v>FOIA-FWS-2020-00724-0000607</v>
      </c>
      <c r="B608" s="3" t="s">
        <v>1186</v>
      </c>
      <c r="C608" s="3" t="s">
        <v>234</v>
      </c>
      <c r="D608" s="3" t="s">
        <v>160</v>
      </c>
      <c r="E608" s="3" t="s">
        <v>1190</v>
      </c>
      <c r="F608" s="4">
        <v>43419.886805555558</v>
      </c>
      <c r="G608" s="3"/>
      <c r="H608" s="3"/>
      <c r="I608" s="3" t="s">
        <v>7043</v>
      </c>
      <c r="J608" s="3"/>
      <c r="K608" s="3"/>
      <c r="L608" s="5" t="str">
        <f>HYPERLINK("NATIVE_FILES\FOIA-FWS-2020-00724-0000607.dbf","FOIA-FWS-2020-00724-0000607.dbf")</f>
        <v>FOIA-FWS-2020-00724-0000607.dbf</v>
      </c>
    </row>
    <row r="609" spans="1:12" ht="28.8" x14ac:dyDescent="0.55000000000000004">
      <c r="A609" s="9" t="str">
        <f>HYPERLINK("PDF\FOIA-FWS-2020-00724-0000608.pdf","FOIA-FWS-2020-00724-0000608")</f>
        <v>FOIA-FWS-2020-00724-0000608</v>
      </c>
      <c r="B609" s="3" t="s">
        <v>1186</v>
      </c>
      <c r="C609" s="3" t="s">
        <v>234</v>
      </c>
      <c r="D609" s="3" t="s">
        <v>160</v>
      </c>
      <c r="E609" s="3" t="s">
        <v>1191</v>
      </c>
      <c r="F609" s="4">
        <v>43419.886805555558</v>
      </c>
      <c r="G609" s="3"/>
      <c r="H609" s="3"/>
      <c r="I609" s="3" t="s">
        <v>7043</v>
      </c>
      <c r="J609" s="3"/>
      <c r="K609" s="3"/>
      <c r="L609" s="5" t="str">
        <f>HYPERLINK("NATIVE_FILES\FOIA-FWS-2020-00724-0000608.prj","FOIA-FWS-2020-00724-0000608.prj")</f>
        <v>FOIA-FWS-2020-00724-0000608.prj</v>
      </c>
    </row>
    <row r="610" spans="1:12" ht="28.8" x14ac:dyDescent="0.55000000000000004">
      <c r="A610" s="9" t="str">
        <f>HYPERLINK("PDF\FOIA-FWS-2020-00724-0000609.pdf","FOIA-FWS-2020-00724-0000609")</f>
        <v>FOIA-FWS-2020-00724-0000609</v>
      </c>
      <c r="B610" s="3" t="s">
        <v>1186</v>
      </c>
      <c r="C610" s="3" t="s">
        <v>234</v>
      </c>
      <c r="D610" s="3" t="s">
        <v>160</v>
      </c>
      <c r="E610" s="3" t="s">
        <v>1192</v>
      </c>
      <c r="F610" s="4">
        <v>43419.886805555558</v>
      </c>
      <c r="G610" s="3"/>
      <c r="H610" s="3"/>
      <c r="I610" s="3" t="s">
        <v>7043</v>
      </c>
      <c r="J610" s="3"/>
      <c r="K610" s="3"/>
      <c r="L610" s="5" t="str">
        <f>HYPERLINK("NATIVE_FILES\FOIA-FWS-2020-00724-0000609.sbn","FOIA-FWS-2020-00724-0000609.sbn")</f>
        <v>FOIA-FWS-2020-00724-0000609.sbn</v>
      </c>
    </row>
    <row r="611" spans="1:12" ht="28.8" x14ac:dyDescent="0.55000000000000004">
      <c r="A611" s="9" t="str">
        <f>HYPERLINK("PDF\FOIA-FWS-2020-00724-0000610.pdf","FOIA-FWS-2020-00724-0000610")</f>
        <v>FOIA-FWS-2020-00724-0000610</v>
      </c>
      <c r="B611" s="3" t="s">
        <v>1186</v>
      </c>
      <c r="C611" s="3" t="s">
        <v>234</v>
      </c>
      <c r="D611" s="3" t="s">
        <v>160</v>
      </c>
      <c r="E611" s="3" t="s">
        <v>1193</v>
      </c>
      <c r="F611" s="4">
        <v>43419.886805555558</v>
      </c>
      <c r="G611" s="3"/>
      <c r="H611" s="3"/>
      <c r="I611" s="3" t="s">
        <v>7043</v>
      </c>
      <c r="J611" s="3"/>
      <c r="K611" s="3"/>
      <c r="L611" s="5" t="str">
        <f>HYPERLINK("NATIVE_FILES\FOIA-FWS-2020-00724-0000610.sbx","FOIA-FWS-2020-00724-0000610.sbx")</f>
        <v>FOIA-FWS-2020-00724-0000610.sbx</v>
      </c>
    </row>
    <row r="612" spans="1:12" ht="28.8" x14ac:dyDescent="0.55000000000000004">
      <c r="A612" s="9" t="str">
        <f>HYPERLINK("PDF\FOIA-FWS-2020-00724-0000611.pdf","FOIA-FWS-2020-00724-0000611")</f>
        <v>FOIA-FWS-2020-00724-0000611</v>
      </c>
      <c r="B612" s="3" t="s">
        <v>1186</v>
      </c>
      <c r="C612" s="3" t="s">
        <v>234</v>
      </c>
      <c r="D612" s="3" t="s">
        <v>160</v>
      </c>
      <c r="E612" s="3" t="s">
        <v>1194</v>
      </c>
      <c r="F612" s="4">
        <v>43419.886805555558</v>
      </c>
      <c r="G612" s="3"/>
      <c r="H612" s="3"/>
      <c r="I612" s="3" t="s">
        <v>7043</v>
      </c>
      <c r="J612" s="3"/>
      <c r="K612" s="3"/>
      <c r="L612" s="5" t="str">
        <f>HYPERLINK("NATIVE_FILES\FOIA-FWS-2020-00724-0000611.shp","FOIA-FWS-2020-00724-0000611.shp")</f>
        <v>FOIA-FWS-2020-00724-0000611.shp</v>
      </c>
    </row>
    <row r="613" spans="1:12" ht="28.8" x14ac:dyDescent="0.55000000000000004">
      <c r="A613" s="9" t="str">
        <f>HYPERLINK("PDF\FOIA-FWS-2020-00724-0000612.pdf","FOIA-FWS-2020-00724-0000612")</f>
        <v>FOIA-FWS-2020-00724-0000612</v>
      </c>
      <c r="B613" s="3" t="s">
        <v>1186</v>
      </c>
      <c r="C613" s="3" t="s">
        <v>234</v>
      </c>
      <c r="D613" s="3" t="s">
        <v>160</v>
      </c>
      <c r="E613" s="3" t="s">
        <v>1195</v>
      </c>
      <c r="F613" s="4">
        <v>43419.886805555558</v>
      </c>
      <c r="G613" s="3"/>
      <c r="H613" s="3"/>
      <c r="I613" s="3" t="s">
        <v>7043</v>
      </c>
      <c r="J613" s="3"/>
      <c r="K613" s="3"/>
      <c r="L613" s="5" t="str">
        <f>HYPERLINK("NATIVE_FILES\FOIA-FWS-2020-00724-0000612.xml","FOIA-FWS-2020-00724-0000612.xml")</f>
        <v>FOIA-FWS-2020-00724-0000612.xml</v>
      </c>
    </row>
    <row r="614" spans="1:12" ht="28.8" x14ac:dyDescent="0.55000000000000004">
      <c r="A614" s="9" t="str">
        <f>HYPERLINK("PDF\FOIA-FWS-2020-00724-0000613.pdf","FOIA-FWS-2020-00724-0000613")</f>
        <v>FOIA-FWS-2020-00724-0000613</v>
      </c>
      <c r="B614" s="3" t="s">
        <v>1186</v>
      </c>
      <c r="C614" s="3" t="s">
        <v>234</v>
      </c>
      <c r="D614" s="3" t="s">
        <v>160</v>
      </c>
      <c r="E614" s="3" t="s">
        <v>1196</v>
      </c>
      <c r="F614" s="4">
        <v>43419.886805555558</v>
      </c>
      <c r="G614" s="3"/>
      <c r="H614" s="3"/>
      <c r="I614" s="3" t="s">
        <v>7043</v>
      </c>
      <c r="J614" s="3"/>
      <c r="K614" s="3"/>
      <c r="L614" s="5" t="str">
        <f>HYPERLINK("NATIVE_FILES\FOIA-FWS-2020-00724-0000613.shx","FOIA-FWS-2020-00724-0000613.shx")</f>
        <v>FOIA-FWS-2020-00724-0000613.shx</v>
      </c>
    </row>
    <row r="615" spans="1:12" ht="86.4" x14ac:dyDescent="0.55000000000000004">
      <c r="A615" s="9" t="str">
        <f>HYPERLINK("PDF\FOIA-FWS-2020-00724-0000614.pdf","FOIA-FWS-2020-00724-0000614")</f>
        <v>FOIA-FWS-2020-00724-0000614</v>
      </c>
      <c r="B615" s="3" t="s">
        <v>1197</v>
      </c>
      <c r="C615" s="3" t="s">
        <v>3</v>
      </c>
      <c r="D615" s="3" t="s">
        <v>33</v>
      </c>
      <c r="E615" s="3" t="s">
        <v>1199</v>
      </c>
      <c r="F615" s="4">
        <v>43420.058333333334</v>
      </c>
      <c r="G615" s="3" t="s">
        <v>930</v>
      </c>
      <c r="H615" s="3" t="s">
        <v>1198</v>
      </c>
      <c r="I615" s="3" t="s">
        <v>7043</v>
      </c>
      <c r="J615" s="3"/>
      <c r="K615" s="3"/>
      <c r="L615" s="5"/>
    </row>
    <row r="616" spans="1:12" ht="28.8" x14ac:dyDescent="0.55000000000000004">
      <c r="A616" s="9" t="str">
        <f>HYPERLINK("PDF\FOIA-FWS-2020-00724-0000615.pdf","FOIA-FWS-2020-00724-0000615")</f>
        <v>FOIA-FWS-2020-00724-0000615</v>
      </c>
      <c r="B616" s="3" t="s">
        <v>1197</v>
      </c>
      <c r="C616" s="3" t="s">
        <v>234</v>
      </c>
      <c r="D616" s="3" t="s">
        <v>33</v>
      </c>
      <c r="E616" s="3" t="s">
        <v>1200</v>
      </c>
      <c r="F616" s="4">
        <v>43420.058333333334</v>
      </c>
      <c r="G616" s="3"/>
      <c r="H616" s="3"/>
      <c r="I616" s="3" t="s">
        <v>7043</v>
      </c>
      <c r="J616" s="3"/>
      <c r="K616" s="3"/>
      <c r="L616" s="5"/>
    </row>
    <row r="617" spans="1:12" ht="28.8" x14ac:dyDescent="0.55000000000000004">
      <c r="A617" s="9" t="str">
        <f>HYPERLINK("PDF\FOIA-FWS-2020-00724-0000616.pdf","FOIA-FWS-2020-00724-0000616")</f>
        <v>FOIA-FWS-2020-00724-0000616</v>
      </c>
      <c r="B617" s="3" t="s">
        <v>1201</v>
      </c>
      <c r="C617" s="3" t="s">
        <v>3</v>
      </c>
      <c r="D617" s="3" t="s">
        <v>33</v>
      </c>
      <c r="E617" s="3" t="s">
        <v>1202</v>
      </c>
      <c r="F617" s="4">
        <v>43420.443749999999</v>
      </c>
      <c r="G617" s="3" t="s">
        <v>1073</v>
      </c>
      <c r="H617" s="3" t="s">
        <v>1179</v>
      </c>
      <c r="I617" s="3" t="s">
        <v>7043</v>
      </c>
      <c r="J617" s="3"/>
      <c r="K617" s="3"/>
      <c r="L617" s="5"/>
    </row>
    <row r="618" spans="1:12" ht="28.8" x14ac:dyDescent="0.55000000000000004">
      <c r="A618" s="9" t="str">
        <f>HYPERLINK("PDF\FOIA-FWS-2020-00724-0000617.pdf","FOIA-FWS-2020-00724-0000617")</f>
        <v>FOIA-FWS-2020-00724-0000617</v>
      </c>
      <c r="B618" s="3" t="s">
        <v>1201</v>
      </c>
      <c r="C618" s="3" t="s">
        <v>234</v>
      </c>
      <c r="D618" s="3" t="s">
        <v>33</v>
      </c>
      <c r="E618" s="3" t="s">
        <v>1188</v>
      </c>
      <c r="F618" s="4">
        <v>43420.443749999999</v>
      </c>
      <c r="G618" s="3"/>
      <c r="H618" s="3"/>
      <c r="I618" s="3" t="s">
        <v>7043</v>
      </c>
      <c r="J618" s="3"/>
      <c r="K618" s="3"/>
      <c r="L618" s="5"/>
    </row>
    <row r="619" spans="1:12" ht="28.8" x14ac:dyDescent="0.55000000000000004">
      <c r="A619" s="9" t="str">
        <f>HYPERLINK("PDF\FOIA-FWS-2020-00724-0000618.pdf","FOIA-FWS-2020-00724-0000618")</f>
        <v>FOIA-FWS-2020-00724-0000618</v>
      </c>
      <c r="B619" s="3" t="s">
        <v>1201</v>
      </c>
      <c r="C619" s="3" t="s">
        <v>234</v>
      </c>
      <c r="D619" s="3" t="s">
        <v>160</v>
      </c>
      <c r="E619" s="3" t="s">
        <v>1189</v>
      </c>
      <c r="F619" s="4">
        <v>43420.443749999999</v>
      </c>
      <c r="G619" s="3"/>
      <c r="H619" s="3"/>
      <c r="I619" s="3" t="s">
        <v>7043</v>
      </c>
      <c r="J619" s="3"/>
      <c r="K619" s="3"/>
      <c r="L619" s="5"/>
    </row>
    <row r="620" spans="1:12" ht="28.8" x14ac:dyDescent="0.55000000000000004">
      <c r="A620" s="9" t="str">
        <f>HYPERLINK("PDF\FOIA-FWS-2020-00724-0000619.pdf","FOIA-FWS-2020-00724-0000619")</f>
        <v>FOIA-FWS-2020-00724-0000619</v>
      </c>
      <c r="B620" s="3" t="s">
        <v>1201</v>
      </c>
      <c r="C620" s="3" t="s">
        <v>234</v>
      </c>
      <c r="D620" s="3" t="s">
        <v>160</v>
      </c>
      <c r="E620" s="3" t="s">
        <v>1190</v>
      </c>
      <c r="F620" s="4">
        <v>43420.443749999999</v>
      </c>
      <c r="G620" s="3"/>
      <c r="H620" s="3"/>
      <c r="I620" s="3" t="s">
        <v>7043</v>
      </c>
      <c r="J620" s="3"/>
      <c r="K620" s="3"/>
      <c r="L620" s="5" t="str">
        <f>HYPERLINK("NATIVE_FILES\FOIA-FWS-2020-00724-0000619.dbf","FOIA-FWS-2020-00724-0000619.dbf")</f>
        <v>FOIA-FWS-2020-00724-0000619.dbf</v>
      </c>
    </row>
    <row r="621" spans="1:12" ht="28.8" x14ac:dyDescent="0.55000000000000004">
      <c r="A621" s="9" t="str">
        <f>HYPERLINK("PDF\FOIA-FWS-2020-00724-0000620.pdf","FOIA-FWS-2020-00724-0000620")</f>
        <v>FOIA-FWS-2020-00724-0000620</v>
      </c>
      <c r="B621" s="3" t="s">
        <v>1201</v>
      </c>
      <c r="C621" s="3" t="s">
        <v>234</v>
      </c>
      <c r="D621" s="3" t="s">
        <v>160</v>
      </c>
      <c r="E621" s="3" t="s">
        <v>1191</v>
      </c>
      <c r="F621" s="4">
        <v>43420.443749999999</v>
      </c>
      <c r="G621" s="3"/>
      <c r="H621" s="3"/>
      <c r="I621" s="3" t="s">
        <v>7043</v>
      </c>
      <c r="J621" s="3"/>
      <c r="K621" s="3"/>
      <c r="L621" s="5" t="str">
        <f>HYPERLINK("NATIVE_FILES\FOIA-FWS-2020-00724-0000620.prj","FOIA-FWS-2020-00724-0000620.prj")</f>
        <v>FOIA-FWS-2020-00724-0000620.prj</v>
      </c>
    </row>
    <row r="622" spans="1:12" ht="28.8" x14ac:dyDescent="0.55000000000000004">
      <c r="A622" s="9" t="str">
        <f>HYPERLINK("PDF\FOIA-FWS-2020-00724-0000621.pdf","FOIA-FWS-2020-00724-0000621")</f>
        <v>FOIA-FWS-2020-00724-0000621</v>
      </c>
      <c r="B622" s="3" t="s">
        <v>1201</v>
      </c>
      <c r="C622" s="3" t="s">
        <v>234</v>
      </c>
      <c r="D622" s="3" t="s">
        <v>160</v>
      </c>
      <c r="E622" s="3" t="s">
        <v>1192</v>
      </c>
      <c r="F622" s="4">
        <v>43420.443749999999</v>
      </c>
      <c r="G622" s="3"/>
      <c r="H622" s="3"/>
      <c r="I622" s="3" t="s">
        <v>7043</v>
      </c>
      <c r="J622" s="3"/>
      <c r="K622" s="3"/>
      <c r="L622" s="5" t="str">
        <f>HYPERLINK("NATIVE_FILES\FOIA-FWS-2020-00724-0000621.sbn","FOIA-FWS-2020-00724-0000621.sbn")</f>
        <v>FOIA-FWS-2020-00724-0000621.sbn</v>
      </c>
    </row>
    <row r="623" spans="1:12" ht="28.8" x14ac:dyDescent="0.55000000000000004">
      <c r="A623" s="9" t="str">
        <f>HYPERLINK("PDF\FOIA-FWS-2020-00724-0000622.pdf","FOIA-FWS-2020-00724-0000622")</f>
        <v>FOIA-FWS-2020-00724-0000622</v>
      </c>
      <c r="B623" s="3" t="s">
        <v>1201</v>
      </c>
      <c r="C623" s="3" t="s">
        <v>234</v>
      </c>
      <c r="D623" s="3" t="s">
        <v>160</v>
      </c>
      <c r="E623" s="3" t="s">
        <v>1193</v>
      </c>
      <c r="F623" s="4">
        <v>43420.443749999999</v>
      </c>
      <c r="G623" s="3"/>
      <c r="H623" s="3"/>
      <c r="I623" s="3" t="s">
        <v>7043</v>
      </c>
      <c r="J623" s="3"/>
      <c r="K623" s="3"/>
      <c r="L623" s="5" t="str">
        <f>HYPERLINK("NATIVE_FILES\FOIA-FWS-2020-00724-0000622.sbx","FOIA-FWS-2020-00724-0000622.sbx")</f>
        <v>FOIA-FWS-2020-00724-0000622.sbx</v>
      </c>
    </row>
    <row r="624" spans="1:12" ht="28.8" x14ac:dyDescent="0.55000000000000004">
      <c r="A624" s="9" t="str">
        <f>HYPERLINK("PDF\FOIA-FWS-2020-00724-0000623.pdf","FOIA-FWS-2020-00724-0000623")</f>
        <v>FOIA-FWS-2020-00724-0000623</v>
      </c>
      <c r="B624" s="3" t="s">
        <v>1201</v>
      </c>
      <c r="C624" s="3" t="s">
        <v>234</v>
      </c>
      <c r="D624" s="3" t="s">
        <v>160</v>
      </c>
      <c r="E624" s="3" t="s">
        <v>1194</v>
      </c>
      <c r="F624" s="4">
        <v>43420.443749999999</v>
      </c>
      <c r="G624" s="3"/>
      <c r="H624" s="3"/>
      <c r="I624" s="3" t="s">
        <v>7043</v>
      </c>
      <c r="J624" s="3"/>
      <c r="K624" s="3"/>
      <c r="L624" s="5" t="str">
        <f>HYPERLINK("NATIVE_FILES\FOIA-FWS-2020-00724-0000623.shp","FOIA-FWS-2020-00724-0000623.shp")</f>
        <v>FOIA-FWS-2020-00724-0000623.shp</v>
      </c>
    </row>
    <row r="625" spans="1:12" ht="28.8" x14ac:dyDescent="0.55000000000000004">
      <c r="A625" s="9" t="str">
        <f>HYPERLINK("PDF\FOIA-FWS-2020-00724-0000624.pdf","FOIA-FWS-2020-00724-0000624")</f>
        <v>FOIA-FWS-2020-00724-0000624</v>
      </c>
      <c r="B625" s="3" t="s">
        <v>1201</v>
      </c>
      <c r="C625" s="3" t="s">
        <v>234</v>
      </c>
      <c r="D625" s="3" t="s">
        <v>160</v>
      </c>
      <c r="E625" s="3" t="s">
        <v>1195</v>
      </c>
      <c r="F625" s="4">
        <v>43420.443749999999</v>
      </c>
      <c r="G625" s="3"/>
      <c r="H625" s="3"/>
      <c r="I625" s="3" t="s">
        <v>7043</v>
      </c>
      <c r="J625" s="3"/>
      <c r="K625" s="3"/>
      <c r="L625" s="5" t="str">
        <f>HYPERLINK("NATIVE_FILES\FOIA-FWS-2020-00724-0000624.xml","FOIA-FWS-2020-00724-0000624.xml")</f>
        <v>FOIA-FWS-2020-00724-0000624.xml</v>
      </c>
    </row>
    <row r="626" spans="1:12" ht="28.8" x14ac:dyDescent="0.55000000000000004">
      <c r="A626" s="9" t="str">
        <f>HYPERLINK("PDF\FOIA-FWS-2020-00724-0000625.pdf","FOIA-FWS-2020-00724-0000625")</f>
        <v>FOIA-FWS-2020-00724-0000625</v>
      </c>
      <c r="B626" s="3" t="s">
        <v>1201</v>
      </c>
      <c r="C626" s="3" t="s">
        <v>234</v>
      </c>
      <c r="D626" s="3" t="s">
        <v>160</v>
      </c>
      <c r="E626" s="3" t="s">
        <v>1196</v>
      </c>
      <c r="F626" s="4">
        <v>43420.443749999999</v>
      </c>
      <c r="G626" s="3"/>
      <c r="H626" s="3"/>
      <c r="I626" s="3" t="s">
        <v>7043</v>
      </c>
      <c r="J626" s="3"/>
      <c r="K626" s="3"/>
      <c r="L626" s="5" t="str">
        <f>HYPERLINK("NATIVE_FILES\FOIA-FWS-2020-00724-0000625.shx","FOIA-FWS-2020-00724-0000625.shx")</f>
        <v>FOIA-FWS-2020-00724-0000625.shx</v>
      </c>
    </row>
    <row r="627" spans="1:12" ht="28.8" x14ac:dyDescent="0.55000000000000004">
      <c r="A627" s="9" t="str">
        <f>HYPERLINK("PDF\FOIA-FWS-2020-00724-0000626.pdf","FOIA-FWS-2020-00724-0000626")</f>
        <v>FOIA-FWS-2020-00724-0000626</v>
      </c>
      <c r="B627" s="3" t="s">
        <v>1203</v>
      </c>
      <c r="C627" s="3" t="s">
        <v>3</v>
      </c>
      <c r="D627" s="3" t="s">
        <v>33</v>
      </c>
      <c r="E627" s="3" t="s">
        <v>1205</v>
      </c>
      <c r="F627" s="4">
        <v>43420.447222222225</v>
      </c>
      <c r="G627" s="3" t="s">
        <v>1073</v>
      </c>
      <c r="H627" s="3" t="s">
        <v>1204</v>
      </c>
      <c r="I627" s="3" t="s">
        <v>7043</v>
      </c>
      <c r="J627" s="3"/>
      <c r="K627" s="3"/>
      <c r="L627" s="5"/>
    </row>
    <row r="628" spans="1:12" ht="28.8" x14ac:dyDescent="0.55000000000000004">
      <c r="A628" s="9" t="str">
        <f>HYPERLINK("PDF\FOIA-FWS-2020-00724-0000627.pdf","FOIA-FWS-2020-00724-0000627")</f>
        <v>FOIA-FWS-2020-00724-0000627</v>
      </c>
      <c r="B628" s="3" t="s">
        <v>1203</v>
      </c>
      <c r="C628" s="3" t="s">
        <v>234</v>
      </c>
      <c r="D628" s="3" t="s">
        <v>160</v>
      </c>
      <c r="E628" s="3" t="s">
        <v>1206</v>
      </c>
      <c r="F628" s="4">
        <v>43420.447222222225</v>
      </c>
      <c r="G628" s="3"/>
      <c r="H628" s="3"/>
      <c r="I628" s="3" t="s">
        <v>7043</v>
      </c>
      <c r="J628" s="3"/>
      <c r="K628" s="3"/>
      <c r="L628" s="5"/>
    </row>
    <row r="629" spans="1:12" ht="28.8" x14ac:dyDescent="0.55000000000000004">
      <c r="A629" s="9" t="str">
        <f>HYPERLINK("PDF\FOIA-FWS-2020-00724-0000628.pdf","FOIA-FWS-2020-00724-0000628")</f>
        <v>FOIA-FWS-2020-00724-0000628</v>
      </c>
      <c r="B629" s="3" t="s">
        <v>1203</v>
      </c>
      <c r="C629" s="3" t="s">
        <v>234</v>
      </c>
      <c r="D629" s="3" t="s">
        <v>160</v>
      </c>
      <c r="E629" s="3" t="s">
        <v>1207</v>
      </c>
      <c r="F629" s="4">
        <v>43420.447222222225</v>
      </c>
      <c r="G629" s="3"/>
      <c r="H629" s="3"/>
      <c r="I629" s="3" t="s">
        <v>7043</v>
      </c>
      <c r="J629" s="3"/>
      <c r="K629" s="3"/>
      <c r="L629" s="5"/>
    </row>
    <row r="630" spans="1:12" ht="28.8" x14ac:dyDescent="0.55000000000000004">
      <c r="A630" s="9" t="str">
        <f>HYPERLINK("PDF\FOIA-FWS-2020-00724-0000629.pdf","FOIA-FWS-2020-00724-0000629")</f>
        <v>FOIA-FWS-2020-00724-0000629</v>
      </c>
      <c r="B630" s="3" t="s">
        <v>1203</v>
      </c>
      <c r="C630" s="3" t="s">
        <v>234</v>
      </c>
      <c r="D630" s="3" t="s">
        <v>160</v>
      </c>
      <c r="E630" s="3" t="s">
        <v>1189</v>
      </c>
      <c r="F630" s="4">
        <v>43420.447222222225</v>
      </c>
      <c r="G630" s="3"/>
      <c r="H630" s="3"/>
      <c r="I630" s="3" t="s">
        <v>7043</v>
      </c>
      <c r="J630" s="3"/>
      <c r="K630" s="3"/>
      <c r="L630" s="5"/>
    </row>
    <row r="631" spans="1:12" ht="28.8" x14ac:dyDescent="0.55000000000000004">
      <c r="A631" s="9" t="str">
        <f>HYPERLINK("PDF\FOIA-FWS-2020-00724-0000630.pdf","FOIA-FWS-2020-00724-0000630")</f>
        <v>FOIA-FWS-2020-00724-0000630</v>
      </c>
      <c r="B631" s="3" t="s">
        <v>1203</v>
      </c>
      <c r="C631" s="3" t="s">
        <v>234</v>
      </c>
      <c r="D631" s="3" t="s">
        <v>160</v>
      </c>
      <c r="E631" s="3" t="s">
        <v>1190</v>
      </c>
      <c r="F631" s="4">
        <v>43420.447222222225</v>
      </c>
      <c r="G631" s="3"/>
      <c r="H631" s="3"/>
      <c r="I631" s="3" t="s">
        <v>7043</v>
      </c>
      <c r="J631" s="3"/>
      <c r="K631" s="3"/>
      <c r="L631" s="5" t="str">
        <f>HYPERLINK("NATIVE_FILES\FOIA-FWS-2020-00724-0000630.dbf","FOIA-FWS-2020-00724-0000630.dbf")</f>
        <v>FOIA-FWS-2020-00724-0000630.dbf</v>
      </c>
    </row>
    <row r="632" spans="1:12" ht="28.8" x14ac:dyDescent="0.55000000000000004">
      <c r="A632" s="9" t="str">
        <f>HYPERLINK("PDF\FOIA-FWS-2020-00724-0000631.pdf","FOIA-FWS-2020-00724-0000631")</f>
        <v>FOIA-FWS-2020-00724-0000631</v>
      </c>
      <c r="B632" s="3" t="s">
        <v>1203</v>
      </c>
      <c r="C632" s="3" t="s">
        <v>234</v>
      </c>
      <c r="D632" s="3" t="s">
        <v>160</v>
      </c>
      <c r="E632" s="3" t="s">
        <v>1191</v>
      </c>
      <c r="F632" s="4">
        <v>43420.447222222225</v>
      </c>
      <c r="G632" s="3"/>
      <c r="H632" s="3"/>
      <c r="I632" s="3" t="s">
        <v>7043</v>
      </c>
      <c r="J632" s="3"/>
      <c r="K632" s="3"/>
      <c r="L632" s="5" t="str">
        <f>HYPERLINK("NATIVE_FILES\FOIA-FWS-2020-00724-0000631.prj","FOIA-FWS-2020-00724-0000631.prj")</f>
        <v>FOIA-FWS-2020-00724-0000631.prj</v>
      </c>
    </row>
    <row r="633" spans="1:12" ht="28.8" x14ac:dyDescent="0.55000000000000004">
      <c r="A633" s="9" t="str">
        <f>HYPERLINK("PDF\FOIA-FWS-2020-00724-0000632.pdf","FOIA-FWS-2020-00724-0000632")</f>
        <v>FOIA-FWS-2020-00724-0000632</v>
      </c>
      <c r="B633" s="3" t="s">
        <v>1203</v>
      </c>
      <c r="C633" s="3" t="s">
        <v>234</v>
      </c>
      <c r="D633" s="3" t="s">
        <v>160</v>
      </c>
      <c r="E633" s="3" t="s">
        <v>1192</v>
      </c>
      <c r="F633" s="4">
        <v>43420.447222222225</v>
      </c>
      <c r="G633" s="3"/>
      <c r="H633" s="3"/>
      <c r="I633" s="3" t="s">
        <v>7043</v>
      </c>
      <c r="J633" s="3"/>
      <c r="K633" s="3"/>
      <c r="L633" s="5" t="str">
        <f>HYPERLINK("NATIVE_FILES\FOIA-FWS-2020-00724-0000632.sbn","FOIA-FWS-2020-00724-0000632.sbn")</f>
        <v>FOIA-FWS-2020-00724-0000632.sbn</v>
      </c>
    </row>
    <row r="634" spans="1:12" ht="28.8" x14ac:dyDescent="0.55000000000000004">
      <c r="A634" s="9" t="str">
        <f>HYPERLINK("PDF\FOIA-FWS-2020-00724-0000633.pdf","FOIA-FWS-2020-00724-0000633")</f>
        <v>FOIA-FWS-2020-00724-0000633</v>
      </c>
      <c r="B634" s="3" t="s">
        <v>1203</v>
      </c>
      <c r="C634" s="3" t="s">
        <v>234</v>
      </c>
      <c r="D634" s="3" t="s">
        <v>160</v>
      </c>
      <c r="E634" s="3" t="s">
        <v>1193</v>
      </c>
      <c r="F634" s="4">
        <v>43420.447222222225</v>
      </c>
      <c r="G634" s="3"/>
      <c r="H634" s="3"/>
      <c r="I634" s="3" t="s">
        <v>7043</v>
      </c>
      <c r="J634" s="3"/>
      <c r="K634" s="3"/>
      <c r="L634" s="5" t="str">
        <f>HYPERLINK("NATIVE_FILES\FOIA-FWS-2020-00724-0000633.sbx","FOIA-FWS-2020-00724-0000633.sbx")</f>
        <v>FOIA-FWS-2020-00724-0000633.sbx</v>
      </c>
    </row>
    <row r="635" spans="1:12" ht="28.8" x14ac:dyDescent="0.55000000000000004">
      <c r="A635" s="9" t="str">
        <f>HYPERLINK("PDF\FOIA-FWS-2020-00724-0000634.pdf","FOIA-FWS-2020-00724-0000634")</f>
        <v>FOIA-FWS-2020-00724-0000634</v>
      </c>
      <c r="B635" s="3" t="s">
        <v>1203</v>
      </c>
      <c r="C635" s="3" t="s">
        <v>234</v>
      </c>
      <c r="D635" s="3" t="s">
        <v>160</v>
      </c>
      <c r="E635" s="3" t="s">
        <v>1194</v>
      </c>
      <c r="F635" s="4">
        <v>43420.447222222225</v>
      </c>
      <c r="G635" s="3"/>
      <c r="H635" s="3"/>
      <c r="I635" s="3" t="s">
        <v>7043</v>
      </c>
      <c r="J635" s="3"/>
      <c r="K635" s="3"/>
      <c r="L635" s="5" t="str">
        <f>HYPERLINK("NATIVE_FILES\FOIA-FWS-2020-00724-0000634.shp","FOIA-FWS-2020-00724-0000634.shp")</f>
        <v>FOIA-FWS-2020-00724-0000634.shp</v>
      </c>
    </row>
    <row r="636" spans="1:12" ht="28.8" x14ac:dyDescent="0.55000000000000004">
      <c r="A636" s="9" t="str">
        <f>HYPERLINK("PDF\FOIA-FWS-2020-00724-0000635.pdf","FOIA-FWS-2020-00724-0000635")</f>
        <v>FOIA-FWS-2020-00724-0000635</v>
      </c>
      <c r="B636" s="3" t="s">
        <v>1203</v>
      </c>
      <c r="C636" s="3" t="s">
        <v>234</v>
      </c>
      <c r="D636" s="3" t="s">
        <v>160</v>
      </c>
      <c r="E636" s="3" t="s">
        <v>1195</v>
      </c>
      <c r="F636" s="4">
        <v>43420.447222222225</v>
      </c>
      <c r="G636" s="3"/>
      <c r="H636" s="3"/>
      <c r="I636" s="3" t="s">
        <v>7043</v>
      </c>
      <c r="J636" s="3"/>
      <c r="K636" s="3"/>
      <c r="L636" s="5" t="str">
        <f>HYPERLINK("NATIVE_FILES\FOIA-FWS-2020-00724-0000635.xml","FOIA-FWS-2020-00724-0000635.xml")</f>
        <v>FOIA-FWS-2020-00724-0000635.xml</v>
      </c>
    </row>
    <row r="637" spans="1:12" ht="28.8" x14ac:dyDescent="0.55000000000000004">
      <c r="A637" s="9" t="str">
        <f>HYPERLINK("PDF\FOIA-FWS-2020-00724-0000636.pdf","FOIA-FWS-2020-00724-0000636")</f>
        <v>FOIA-FWS-2020-00724-0000636</v>
      </c>
      <c r="B637" s="3" t="s">
        <v>1203</v>
      </c>
      <c r="C637" s="3" t="s">
        <v>234</v>
      </c>
      <c r="D637" s="3" t="s">
        <v>160</v>
      </c>
      <c r="E637" s="3" t="s">
        <v>1196</v>
      </c>
      <c r="F637" s="4">
        <v>43420.447222222225</v>
      </c>
      <c r="G637" s="3"/>
      <c r="H637" s="3"/>
      <c r="I637" s="3" t="s">
        <v>7043</v>
      </c>
      <c r="J637" s="3"/>
      <c r="K637" s="3"/>
      <c r="L637" s="5" t="str">
        <f>HYPERLINK("NATIVE_FILES\FOIA-FWS-2020-00724-0000636.shx","FOIA-FWS-2020-00724-0000636.shx")</f>
        <v>FOIA-FWS-2020-00724-0000636.shx</v>
      </c>
    </row>
    <row r="638" spans="1:12" ht="28.8" x14ac:dyDescent="0.55000000000000004">
      <c r="A638" s="9" t="str">
        <f>HYPERLINK("PDF\FOIA-FWS-2020-00724-0000637.pdf","FOIA-FWS-2020-00724-0000637")</f>
        <v>FOIA-FWS-2020-00724-0000637</v>
      </c>
      <c r="B638" s="3" t="s">
        <v>1208</v>
      </c>
      <c r="C638" s="3" t="s">
        <v>3</v>
      </c>
      <c r="D638" s="3" t="s">
        <v>33</v>
      </c>
      <c r="E638" s="3" t="s">
        <v>1209</v>
      </c>
      <c r="F638" s="4">
        <v>43420.490972222222</v>
      </c>
      <c r="G638" s="3" t="s">
        <v>1184</v>
      </c>
      <c r="H638" s="3" t="s">
        <v>1073</v>
      </c>
      <c r="I638" s="3" t="s">
        <v>7043</v>
      </c>
      <c r="J638" s="3"/>
      <c r="K638" s="3"/>
      <c r="L638" s="5"/>
    </row>
    <row r="639" spans="1:12" ht="28.8" x14ac:dyDescent="0.55000000000000004">
      <c r="A639" s="9" t="str">
        <f>HYPERLINK("PDF\FOIA-FWS-2020-00724-0000638.pdf","FOIA-FWS-2020-00724-0000638")</f>
        <v>FOIA-FWS-2020-00724-0000638</v>
      </c>
      <c r="B639" s="3" t="s">
        <v>1210</v>
      </c>
      <c r="C639" s="3" t="s">
        <v>3</v>
      </c>
      <c r="D639" s="3" t="s">
        <v>33</v>
      </c>
      <c r="E639" s="3" t="s">
        <v>1212</v>
      </c>
      <c r="F639" s="4">
        <v>43420.501388888886</v>
      </c>
      <c r="G639" s="3" t="s">
        <v>1073</v>
      </c>
      <c r="H639" s="3" t="s">
        <v>1211</v>
      </c>
      <c r="I639" s="3" t="s">
        <v>7043</v>
      </c>
      <c r="J639" s="3"/>
      <c r="K639" s="3"/>
      <c r="L639" s="5"/>
    </row>
    <row r="640" spans="1:12" ht="28.8" x14ac:dyDescent="0.55000000000000004">
      <c r="A640" s="9" t="str">
        <f>HYPERLINK("PDF\FOIA-FWS-2020-00724-0000639.pdf","FOIA-FWS-2020-00724-0000639")</f>
        <v>FOIA-FWS-2020-00724-0000639</v>
      </c>
      <c r="B640" s="3" t="s">
        <v>1210</v>
      </c>
      <c r="C640" s="3" t="s">
        <v>234</v>
      </c>
      <c r="D640" s="3" t="s">
        <v>33</v>
      </c>
      <c r="E640" s="3" t="s">
        <v>1213</v>
      </c>
      <c r="F640" s="4">
        <v>43420.501388888886</v>
      </c>
      <c r="G640" s="3"/>
      <c r="H640" s="3"/>
      <c r="I640" s="3" t="s">
        <v>7043</v>
      </c>
      <c r="J640" s="3"/>
      <c r="K640" s="3"/>
      <c r="L640" s="5"/>
    </row>
    <row r="641" spans="1:12" ht="28.8" x14ac:dyDescent="0.55000000000000004">
      <c r="A641" s="9" t="str">
        <f>HYPERLINK("PDF\FOIA-FWS-2020-00724-0000640.pdf","FOIA-FWS-2020-00724-0000640")</f>
        <v>FOIA-FWS-2020-00724-0000640</v>
      </c>
      <c r="B641" s="3" t="s">
        <v>1214</v>
      </c>
      <c r="C641" s="3" t="s">
        <v>3</v>
      </c>
      <c r="D641" s="3" t="s">
        <v>33</v>
      </c>
      <c r="E641" s="3" t="s">
        <v>1215</v>
      </c>
      <c r="F641" s="4">
        <v>43420.636805555558</v>
      </c>
      <c r="G641" s="3" t="s">
        <v>1119</v>
      </c>
      <c r="H641" s="3" t="s">
        <v>945</v>
      </c>
      <c r="I641" s="3" t="s">
        <v>7043</v>
      </c>
      <c r="J641" s="3"/>
      <c r="K641" s="3"/>
      <c r="L641" s="5"/>
    </row>
    <row r="642" spans="1:12" ht="28.8" x14ac:dyDescent="0.55000000000000004">
      <c r="A642" s="9" t="str">
        <f>HYPERLINK("PDF\FOIA-FWS-2020-00724-0000641.pdf","FOIA-FWS-2020-00724-0000641")</f>
        <v>FOIA-FWS-2020-00724-0000641</v>
      </c>
      <c r="B642" s="3" t="s">
        <v>1214</v>
      </c>
      <c r="C642" s="3" t="s">
        <v>234</v>
      </c>
      <c r="D642" s="3" t="s">
        <v>160</v>
      </c>
      <c r="E642" s="3" t="s">
        <v>1200</v>
      </c>
      <c r="F642" s="4">
        <v>43420.636805555558</v>
      </c>
      <c r="G642" s="3"/>
      <c r="H642" s="3"/>
      <c r="I642" s="3" t="s">
        <v>7043</v>
      </c>
      <c r="J642" s="3"/>
      <c r="K642" s="3"/>
      <c r="L642" s="5"/>
    </row>
    <row r="643" spans="1:12" ht="28.8" x14ac:dyDescent="0.55000000000000004">
      <c r="A643" s="9" t="str">
        <f>HYPERLINK("PDF\FOIA-FWS-2020-00724-0000642.pdf","FOIA-FWS-2020-00724-0000642")</f>
        <v>FOIA-FWS-2020-00724-0000642</v>
      </c>
      <c r="B643" s="3" t="s">
        <v>1216</v>
      </c>
      <c r="C643" s="3" t="s">
        <v>3</v>
      </c>
      <c r="D643" s="3" t="s">
        <v>33</v>
      </c>
      <c r="E643" s="3" t="s">
        <v>1217</v>
      </c>
      <c r="F643" s="4">
        <v>43420.650694444441</v>
      </c>
      <c r="G643" s="3" t="s">
        <v>963</v>
      </c>
      <c r="H643" s="3" t="s">
        <v>945</v>
      </c>
      <c r="I643" s="3" t="s">
        <v>7043</v>
      </c>
      <c r="J643" s="3"/>
      <c r="K643" s="3"/>
      <c r="L643" s="5"/>
    </row>
    <row r="644" spans="1:12" ht="28.8" x14ac:dyDescent="0.55000000000000004">
      <c r="A644" s="9" t="str">
        <f>HYPERLINK("PDF\FOIA-FWS-2020-00724-0000643.pdf","FOIA-FWS-2020-00724-0000643")</f>
        <v>FOIA-FWS-2020-00724-0000643</v>
      </c>
      <c r="B644" s="3" t="s">
        <v>1218</v>
      </c>
      <c r="C644" s="3" t="s">
        <v>3</v>
      </c>
      <c r="D644" s="3" t="s">
        <v>33</v>
      </c>
      <c r="E644" s="3" t="s">
        <v>1220</v>
      </c>
      <c r="F644" s="4">
        <v>43420.669444444444</v>
      </c>
      <c r="G644" s="3" t="s">
        <v>963</v>
      </c>
      <c r="H644" s="3" t="s">
        <v>1219</v>
      </c>
      <c r="I644" s="3" t="s">
        <v>7043</v>
      </c>
      <c r="J644" s="3"/>
      <c r="K644" s="3"/>
      <c r="L644" s="5"/>
    </row>
    <row r="645" spans="1:12" ht="28.8" x14ac:dyDescent="0.55000000000000004">
      <c r="A645" s="9" t="str">
        <f>HYPERLINK("PDF\FOIA-FWS-2020-00724-0000644.pdf","FOIA-FWS-2020-00724-0000644")</f>
        <v>FOIA-FWS-2020-00724-0000644</v>
      </c>
      <c r="B645" s="3" t="s">
        <v>1218</v>
      </c>
      <c r="C645" s="3" t="s">
        <v>234</v>
      </c>
      <c r="D645" s="3" t="s">
        <v>33</v>
      </c>
      <c r="E645" s="3" t="s">
        <v>1221</v>
      </c>
      <c r="F645" s="4">
        <v>43420.669444444444</v>
      </c>
      <c r="G645" s="3"/>
      <c r="H645" s="3"/>
      <c r="I645" s="3" t="s">
        <v>7043</v>
      </c>
      <c r="J645" s="3"/>
      <c r="K645" s="3"/>
      <c r="L645" s="5"/>
    </row>
    <row r="646" spans="1:12" ht="28.8" x14ac:dyDescent="0.55000000000000004">
      <c r="A646" s="9" t="str">
        <f>HYPERLINK("PDF\FOIA-FWS-2020-00724-0000645.pdf","FOIA-FWS-2020-00724-0000645")</f>
        <v>FOIA-FWS-2020-00724-0000645</v>
      </c>
      <c r="B646" s="3" t="s">
        <v>1218</v>
      </c>
      <c r="C646" s="3" t="s">
        <v>234</v>
      </c>
      <c r="D646" s="3" t="s">
        <v>33</v>
      </c>
      <c r="E646" s="3" t="s">
        <v>1222</v>
      </c>
      <c r="F646" s="4">
        <v>43420.669444444444</v>
      </c>
      <c r="G646" s="3"/>
      <c r="H646" s="3"/>
      <c r="I646" s="3" t="s">
        <v>7043</v>
      </c>
      <c r="J646" s="3"/>
      <c r="K646" s="3"/>
      <c r="L646" s="5"/>
    </row>
    <row r="647" spans="1:12" ht="28.8" x14ac:dyDescent="0.55000000000000004">
      <c r="A647" s="9" t="str">
        <f>HYPERLINK("PDF\FOIA-FWS-2020-00724-0000646.pdf","FOIA-FWS-2020-00724-0000646")</f>
        <v>FOIA-FWS-2020-00724-0000646</v>
      </c>
      <c r="B647" s="3" t="s">
        <v>1223</v>
      </c>
      <c r="C647" s="3" t="s">
        <v>3</v>
      </c>
      <c r="D647" s="3" t="s">
        <v>33</v>
      </c>
      <c r="E647" s="3" t="s">
        <v>1226</v>
      </c>
      <c r="F647" s="4">
        <v>43420.676388888889</v>
      </c>
      <c r="G647" s="3" t="s">
        <v>1224</v>
      </c>
      <c r="H647" s="3" t="s">
        <v>1225</v>
      </c>
      <c r="I647" s="3" t="s">
        <v>7043</v>
      </c>
      <c r="J647" s="3"/>
      <c r="K647" s="3"/>
      <c r="L647" s="5"/>
    </row>
    <row r="648" spans="1:12" ht="28.8" x14ac:dyDescent="0.55000000000000004">
      <c r="A648" s="9" t="str">
        <f>HYPERLINK("PDF\FOIA-FWS-2020-00724-0000647.pdf","FOIA-FWS-2020-00724-0000647")</f>
        <v>FOIA-FWS-2020-00724-0000647</v>
      </c>
      <c r="B648" s="3" t="s">
        <v>1227</v>
      </c>
      <c r="C648" s="3" t="s">
        <v>3</v>
      </c>
      <c r="D648" s="3" t="s">
        <v>33</v>
      </c>
      <c r="E648" s="3" t="s">
        <v>1228</v>
      </c>
      <c r="F648" s="4">
        <v>43420.684027777781</v>
      </c>
      <c r="G648" s="3" t="s">
        <v>985</v>
      </c>
      <c r="H648" s="3" t="s">
        <v>963</v>
      </c>
      <c r="I648" s="3" t="s">
        <v>7048</v>
      </c>
      <c r="J648" s="3" t="s">
        <v>7050</v>
      </c>
      <c r="K648" s="3" t="s">
        <v>7036</v>
      </c>
      <c r="L648" s="5"/>
    </row>
    <row r="649" spans="1:12" ht="28.8" x14ac:dyDescent="0.55000000000000004">
      <c r="A649" s="9" t="str">
        <f>HYPERLINK("PDF\FOIA-FWS-2020-00724-0000648.pdf","FOIA-FWS-2020-00724-0000648")</f>
        <v>FOIA-FWS-2020-00724-0000648</v>
      </c>
      <c r="B649" s="3" t="s">
        <v>1229</v>
      </c>
      <c r="C649" s="3" t="s">
        <v>3</v>
      </c>
      <c r="D649" s="3" t="s">
        <v>33</v>
      </c>
      <c r="E649" s="3" t="s">
        <v>1230</v>
      </c>
      <c r="F649" s="4">
        <v>43420.745833333334</v>
      </c>
      <c r="G649" s="3" t="s">
        <v>945</v>
      </c>
      <c r="H649" s="3" t="s">
        <v>1119</v>
      </c>
      <c r="I649" s="3" t="s">
        <v>7043</v>
      </c>
      <c r="J649" s="3"/>
      <c r="K649" s="3"/>
      <c r="L649" s="5"/>
    </row>
    <row r="650" spans="1:12" ht="28.8" x14ac:dyDescent="0.55000000000000004">
      <c r="A650" s="9" t="str">
        <f>HYPERLINK("PDF\FOIA-FWS-2020-00724-0000649.pdf","FOIA-FWS-2020-00724-0000649")</f>
        <v>FOIA-FWS-2020-00724-0000649</v>
      </c>
      <c r="B650" s="3" t="s">
        <v>1231</v>
      </c>
      <c r="C650" s="3" t="s">
        <v>3</v>
      </c>
      <c r="D650" s="3" t="s">
        <v>33</v>
      </c>
      <c r="E650" s="3" t="s">
        <v>1232</v>
      </c>
      <c r="F650" s="4">
        <v>43421.54791666667</v>
      </c>
      <c r="G650" s="3" t="s">
        <v>675</v>
      </c>
      <c r="H650" s="3" t="s">
        <v>1073</v>
      </c>
      <c r="I650" s="3" t="s">
        <v>7043</v>
      </c>
      <c r="J650" s="3"/>
      <c r="K650" s="3"/>
      <c r="L650" s="5"/>
    </row>
    <row r="651" spans="1:12" ht="28.8" x14ac:dyDescent="0.55000000000000004">
      <c r="A651" s="9" t="str">
        <f>HYPERLINK("PDF\FOIA-FWS-2020-00724-0000650.pdf","FOIA-FWS-2020-00724-0000650")</f>
        <v>FOIA-FWS-2020-00724-0000650</v>
      </c>
      <c r="B651" s="3" t="s">
        <v>1233</v>
      </c>
      <c r="C651" s="3" t="s">
        <v>3</v>
      </c>
      <c r="D651" s="3" t="s">
        <v>160</v>
      </c>
      <c r="E651" s="3" t="s">
        <v>1234</v>
      </c>
      <c r="F651" s="4">
        <v>43423</v>
      </c>
      <c r="G651" s="3"/>
      <c r="H651" s="3"/>
      <c r="I651" s="3" t="s">
        <v>7043</v>
      </c>
      <c r="J651" s="3"/>
      <c r="K651" s="3"/>
      <c r="L651" s="5"/>
    </row>
    <row r="652" spans="1:12" ht="28.8" x14ac:dyDescent="0.55000000000000004">
      <c r="A652" s="9" t="str">
        <f>HYPERLINK("PDF\FOIA-FWS-2020-00724-0000651.pdf","FOIA-FWS-2020-00724-0000651")</f>
        <v>FOIA-FWS-2020-00724-0000651</v>
      </c>
      <c r="B652" s="3" t="s">
        <v>1235</v>
      </c>
      <c r="C652" s="3" t="s">
        <v>3</v>
      </c>
      <c r="D652" s="3" t="s">
        <v>160</v>
      </c>
      <c r="E652" s="3" t="s">
        <v>1236</v>
      </c>
      <c r="F652" s="4">
        <v>43423</v>
      </c>
      <c r="G652" s="3"/>
      <c r="H652" s="3"/>
      <c r="I652" s="3" t="s">
        <v>7043</v>
      </c>
      <c r="J652" s="3"/>
      <c r="K652" s="3"/>
      <c r="L652" s="5"/>
    </row>
    <row r="653" spans="1:12" ht="28.8" x14ac:dyDescent="0.55000000000000004">
      <c r="A653" s="9" t="str">
        <f>HYPERLINK("PDF\FOIA-FWS-2020-00724-0000652.pdf","FOIA-FWS-2020-00724-0000652")</f>
        <v>FOIA-FWS-2020-00724-0000652</v>
      </c>
      <c r="B653" s="3" t="s">
        <v>1237</v>
      </c>
      <c r="C653" s="3" t="s">
        <v>3</v>
      </c>
      <c r="D653" s="3" t="s">
        <v>33</v>
      </c>
      <c r="E653" s="3" t="s">
        <v>1238</v>
      </c>
      <c r="F653" s="4">
        <v>43423.763194444444</v>
      </c>
      <c r="G653" s="3" t="s">
        <v>1069</v>
      </c>
      <c r="H653" s="3" t="s">
        <v>1070</v>
      </c>
      <c r="I653" s="3" t="s">
        <v>7043</v>
      </c>
      <c r="J653" s="3"/>
      <c r="K653" s="3"/>
      <c r="L653" s="5"/>
    </row>
    <row r="654" spans="1:12" ht="28.8" x14ac:dyDescent="0.55000000000000004">
      <c r="A654" s="9" t="str">
        <f>HYPERLINK("PDF\FOIA-FWS-2020-00724-0000653.pdf","FOIA-FWS-2020-00724-0000653")</f>
        <v>FOIA-FWS-2020-00724-0000653</v>
      </c>
      <c r="B654" s="3" t="s">
        <v>1237</v>
      </c>
      <c r="C654" s="3" t="s">
        <v>234</v>
      </c>
      <c r="D654" s="3" t="s">
        <v>33</v>
      </c>
      <c r="E654" s="3" t="s">
        <v>1239</v>
      </c>
      <c r="F654" s="4">
        <v>43423.763194444444</v>
      </c>
      <c r="G654" s="3"/>
      <c r="H654" s="3"/>
      <c r="I654" s="3" t="s">
        <v>7043</v>
      </c>
      <c r="J654" s="3"/>
      <c r="K654" s="3"/>
      <c r="L654" s="5"/>
    </row>
    <row r="655" spans="1:12" ht="43.2" x14ac:dyDescent="0.55000000000000004">
      <c r="A655" s="9" t="str">
        <f>HYPERLINK("PDF\FOIA-FWS-2020-00724-0000654.pdf","FOIA-FWS-2020-00724-0000654")</f>
        <v>FOIA-FWS-2020-00724-0000654</v>
      </c>
      <c r="B655" s="3" t="s">
        <v>1240</v>
      </c>
      <c r="C655" s="3" t="s">
        <v>3</v>
      </c>
      <c r="D655" s="3" t="s">
        <v>33</v>
      </c>
      <c r="E655" s="3" t="s">
        <v>1241</v>
      </c>
      <c r="F655" s="4">
        <v>43424</v>
      </c>
      <c r="G655" s="3"/>
      <c r="H655" s="3"/>
      <c r="I655" s="3" t="s">
        <v>7043</v>
      </c>
      <c r="J655" s="3"/>
      <c r="K655" s="3"/>
      <c r="L655" s="5"/>
    </row>
    <row r="656" spans="1:12" ht="28.8" x14ac:dyDescent="0.55000000000000004">
      <c r="A656" s="9" t="str">
        <f>HYPERLINK("PDF\FOIA-FWS-2020-00724-0000655.pdf","FOIA-FWS-2020-00724-0000655")</f>
        <v>FOIA-FWS-2020-00724-0000655</v>
      </c>
      <c r="B656" s="3" t="s">
        <v>1242</v>
      </c>
      <c r="C656" s="3" t="s">
        <v>3</v>
      </c>
      <c r="D656" s="3" t="s">
        <v>33</v>
      </c>
      <c r="E656" s="3" t="s">
        <v>1243</v>
      </c>
      <c r="F656" s="4">
        <v>43424.376388888886</v>
      </c>
      <c r="G656" s="3" t="s">
        <v>985</v>
      </c>
      <c r="H656" s="3" t="s">
        <v>963</v>
      </c>
      <c r="I656" s="3" t="s">
        <v>7043</v>
      </c>
      <c r="J656" s="3"/>
      <c r="K656" s="3"/>
      <c r="L656" s="5"/>
    </row>
    <row r="657" spans="1:12" ht="28.8" x14ac:dyDescent="0.55000000000000004">
      <c r="A657" s="9" t="str">
        <f>HYPERLINK("PDF\FOIA-FWS-2020-00724-0000656.pdf","FOIA-FWS-2020-00724-0000656")</f>
        <v>FOIA-FWS-2020-00724-0000656</v>
      </c>
      <c r="B657" s="3" t="s">
        <v>1242</v>
      </c>
      <c r="C657" s="3" t="s">
        <v>234</v>
      </c>
      <c r="D657" s="3" t="s">
        <v>33</v>
      </c>
      <c r="E657" s="3" t="s">
        <v>1239</v>
      </c>
      <c r="F657" s="4">
        <v>43424.376388888886</v>
      </c>
      <c r="G657" s="3"/>
      <c r="H657" s="3"/>
      <c r="I657" s="3" t="s">
        <v>7043</v>
      </c>
      <c r="J657" s="3"/>
      <c r="K657" s="3"/>
      <c r="L657" s="5"/>
    </row>
    <row r="658" spans="1:12" ht="28.8" x14ac:dyDescent="0.55000000000000004">
      <c r="A658" s="9" t="str">
        <f>HYPERLINK("PDF\FOIA-FWS-2020-00724-0000657.pdf","FOIA-FWS-2020-00724-0000657")</f>
        <v>FOIA-FWS-2020-00724-0000657</v>
      </c>
      <c r="B658" s="3" t="s">
        <v>1244</v>
      </c>
      <c r="C658" s="3" t="s">
        <v>3</v>
      </c>
      <c r="D658" s="3" t="s">
        <v>33</v>
      </c>
      <c r="E658" s="3" t="s">
        <v>1246</v>
      </c>
      <c r="F658" s="4">
        <v>43424.612500000003</v>
      </c>
      <c r="G658" s="3" t="s">
        <v>955</v>
      </c>
      <c r="H658" s="3" t="s">
        <v>1245</v>
      </c>
      <c r="I658" s="3" t="s">
        <v>7043</v>
      </c>
      <c r="J658" s="3"/>
      <c r="K658" s="3"/>
      <c r="L658" s="5"/>
    </row>
    <row r="659" spans="1:12" ht="28.8" x14ac:dyDescent="0.55000000000000004">
      <c r="A659" s="9" t="str">
        <f>HYPERLINK("PDF\FOIA-FWS-2020-00724-0000658.pdf","FOIA-FWS-2020-00724-0000658")</f>
        <v>FOIA-FWS-2020-00724-0000658</v>
      </c>
      <c r="B659" s="3" t="s">
        <v>1244</v>
      </c>
      <c r="C659" s="3" t="s">
        <v>234</v>
      </c>
      <c r="D659" s="3" t="s">
        <v>33</v>
      </c>
      <c r="E659" s="3" t="s">
        <v>1247</v>
      </c>
      <c r="F659" s="4">
        <v>43424.612500000003</v>
      </c>
      <c r="G659" s="3"/>
      <c r="H659" s="3"/>
      <c r="I659" s="3" t="s">
        <v>7043</v>
      </c>
      <c r="J659" s="3"/>
      <c r="K659" s="3"/>
      <c r="L659" s="5"/>
    </row>
    <row r="660" spans="1:12" ht="28.8" x14ac:dyDescent="0.55000000000000004">
      <c r="A660" s="9" t="str">
        <f>HYPERLINK("PDF\FOIA-FWS-2020-00724-0000659.pdf","FOIA-FWS-2020-00724-0000659")</f>
        <v>FOIA-FWS-2020-00724-0000659</v>
      </c>
      <c r="B660" s="3" t="s">
        <v>1248</v>
      </c>
      <c r="C660" s="3" t="s">
        <v>3</v>
      </c>
      <c r="D660" s="3" t="s">
        <v>33</v>
      </c>
      <c r="E660" s="3" t="s">
        <v>1251</v>
      </c>
      <c r="F660" s="4">
        <v>43424.663888888892</v>
      </c>
      <c r="G660" s="3" t="s">
        <v>1249</v>
      </c>
      <c r="H660" s="3" t="s">
        <v>1250</v>
      </c>
      <c r="I660" s="3" t="s">
        <v>7043</v>
      </c>
      <c r="J660" s="3"/>
      <c r="K660" s="3"/>
      <c r="L660" s="5"/>
    </row>
    <row r="661" spans="1:12" ht="72" x14ac:dyDescent="0.55000000000000004">
      <c r="A661" t="s">
        <v>1252</v>
      </c>
      <c r="B661" s="3" t="s">
        <v>1252</v>
      </c>
      <c r="C661" s="3" t="s">
        <v>3</v>
      </c>
      <c r="D661" s="3" t="s">
        <v>33</v>
      </c>
      <c r="E661" s="3" t="s">
        <v>1254</v>
      </c>
      <c r="F661" s="4">
        <v>43424.73541666667</v>
      </c>
      <c r="G661" s="3" t="s">
        <v>852</v>
      </c>
      <c r="H661" s="3" t="s">
        <v>1253</v>
      </c>
      <c r="I661" s="3" t="s">
        <v>7044</v>
      </c>
      <c r="J661" s="3" t="s">
        <v>7046</v>
      </c>
      <c r="K661" s="3"/>
      <c r="L661" s="5"/>
    </row>
    <row r="662" spans="1:12" ht="28.8" x14ac:dyDescent="0.55000000000000004">
      <c r="A662" s="9" t="str">
        <f>HYPERLINK("PDF\FOIA-FWS-2020-00724-0000661.pdf","FOIA-FWS-2020-00724-0000661")</f>
        <v>FOIA-FWS-2020-00724-0000661</v>
      </c>
      <c r="B662" s="3" t="s">
        <v>1252</v>
      </c>
      <c r="C662" s="3" t="s">
        <v>234</v>
      </c>
      <c r="D662" s="3" t="s">
        <v>33</v>
      </c>
      <c r="E662" s="3" t="s">
        <v>1255</v>
      </c>
      <c r="F662" s="4">
        <v>43424.73541666667</v>
      </c>
      <c r="G662" s="3"/>
      <c r="H662" s="3"/>
      <c r="I662" s="3" t="s">
        <v>7043</v>
      </c>
      <c r="J662" s="3"/>
      <c r="K662" s="3"/>
      <c r="L662" s="5"/>
    </row>
    <row r="663" spans="1:12" ht="216" x14ac:dyDescent="0.55000000000000004">
      <c r="A663" s="9" t="str">
        <f>HYPERLINK("PDF\FOIA-FWS-2020-00724-0000662.pdf","FOIA-FWS-2020-00724-0000662")</f>
        <v>FOIA-FWS-2020-00724-0000662</v>
      </c>
      <c r="B663" s="3" t="s">
        <v>1256</v>
      </c>
      <c r="C663" s="3" t="s">
        <v>3</v>
      </c>
      <c r="D663" s="3" t="s">
        <v>33</v>
      </c>
      <c r="E663" s="3" t="s">
        <v>1258</v>
      </c>
      <c r="F663" s="4">
        <v>43424.738888888889</v>
      </c>
      <c r="G663" s="3" t="s">
        <v>1257</v>
      </c>
      <c r="H663" s="3" t="s">
        <v>963</v>
      </c>
      <c r="I663" s="3" t="s">
        <v>7043</v>
      </c>
      <c r="J663" s="3"/>
      <c r="K663" s="3"/>
      <c r="L663" s="5"/>
    </row>
    <row r="664" spans="1:12" ht="28.8" x14ac:dyDescent="0.55000000000000004">
      <c r="A664" s="9" t="str">
        <f>HYPERLINK("PDF\FOIA-FWS-2020-00724-0000663.pdf","FOIA-FWS-2020-00724-0000663")</f>
        <v>FOIA-FWS-2020-00724-0000663</v>
      </c>
      <c r="B664" s="3" t="s">
        <v>1259</v>
      </c>
      <c r="C664" s="3" t="s">
        <v>3</v>
      </c>
      <c r="D664" s="3" t="s">
        <v>33</v>
      </c>
      <c r="E664" s="3" t="s">
        <v>1261</v>
      </c>
      <c r="F664" s="4">
        <v>43425.501388888886</v>
      </c>
      <c r="G664" s="3" t="s">
        <v>1260</v>
      </c>
      <c r="H664" s="3" t="s">
        <v>1070</v>
      </c>
      <c r="I664" s="3" t="s">
        <v>7043</v>
      </c>
      <c r="J664" s="3"/>
      <c r="K664" s="3"/>
      <c r="L664" s="5"/>
    </row>
    <row r="665" spans="1:12" ht="28.8" x14ac:dyDescent="0.55000000000000004">
      <c r="A665" s="9" t="str">
        <f>HYPERLINK("PDF\FOIA-FWS-2020-00724-0000664.pdf","FOIA-FWS-2020-00724-0000664")</f>
        <v>FOIA-FWS-2020-00724-0000664</v>
      </c>
      <c r="B665" s="3" t="s">
        <v>1262</v>
      </c>
      <c r="C665" s="3" t="s">
        <v>3</v>
      </c>
      <c r="D665" s="3" t="s">
        <v>33</v>
      </c>
      <c r="E665" s="3" t="s">
        <v>1264</v>
      </c>
      <c r="F665" s="4">
        <v>43425.563888888886</v>
      </c>
      <c r="G665" s="3" t="s">
        <v>1069</v>
      </c>
      <c r="H665" s="3" t="s">
        <v>1263</v>
      </c>
      <c r="I665" s="3" t="s">
        <v>7043</v>
      </c>
      <c r="J665" s="3"/>
      <c r="K665" s="3"/>
      <c r="L665" s="5"/>
    </row>
    <row r="666" spans="1:12" ht="28.8" x14ac:dyDescent="0.55000000000000004">
      <c r="A666" s="9" t="str">
        <f>HYPERLINK("PDF\FOIA-FWS-2020-00724-0000665.pdf","FOIA-FWS-2020-00724-0000665")</f>
        <v>FOIA-FWS-2020-00724-0000665</v>
      </c>
      <c r="B666" s="3" t="s">
        <v>1262</v>
      </c>
      <c r="C666" s="3" t="s">
        <v>234</v>
      </c>
      <c r="D666" s="3" t="s">
        <v>160</v>
      </c>
      <c r="E666" s="3" t="s">
        <v>1265</v>
      </c>
      <c r="F666" s="4">
        <v>43425.563888888886</v>
      </c>
      <c r="G666" s="3"/>
      <c r="H666" s="3"/>
      <c r="I666" s="3" t="s">
        <v>7043</v>
      </c>
      <c r="J666" s="3"/>
      <c r="K666" s="3"/>
      <c r="L666" s="5" t="str">
        <f>HYPERLINK("NATIVE_FILES\FOIA-FWS-2020-00724-0000665.xlsx","FOIA-FWS-2020-00724-0000665.xlsx")</f>
        <v>FOIA-FWS-2020-00724-0000665.xlsx</v>
      </c>
    </row>
    <row r="667" spans="1:12" ht="28.8" x14ac:dyDescent="0.55000000000000004">
      <c r="A667" s="9" t="str">
        <f>HYPERLINK("PDF\FOIA-FWS-2020-00724-0000666.pdf","FOIA-FWS-2020-00724-0000666")</f>
        <v>FOIA-FWS-2020-00724-0000666</v>
      </c>
      <c r="B667" s="3" t="s">
        <v>1266</v>
      </c>
      <c r="C667" s="3" t="s">
        <v>3</v>
      </c>
      <c r="D667" s="3" t="s">
        <v>33</v>
      </c>
      <c r="E667" s="3" t="s">
        <v>1267</v>
      </c>
      <c r="F667" s="4">
        <v>43425.592361111114</v>
      </c>
      <c r="G667" s="3" t="s">
        <v>1069</v>
      </c>
      <c r="H667" s="3" t="s">
        <v>1070</v>
      </c>
      <c r="I667" s="3" t="s">
        <v>7043</v>
      </c>
      <c r="J667" s="3"/>
      <c r="K667" s="3"/>
      <c r="L667" s="5"/>
    </row>
    <row r="668" spans="1:12" ht="57.6" x14ac:dyDescent="0.55000000000000004">
      <c r="A668" s="9" t="str">
        <f>HYPERLINK("PDF\FOIA-FWS-2020-00724-0000667.pdf","FOIA-FWS-2020-00724-0000667")</f>
        <v>FOIA-FWS-2020-00724-0000667</v>
      </c>
      <c r="B668" s="3" t="s">
        <v>1268</v>
      </c>
      <c r="C668" s="3" t="s">
        <v>3</v>
      </c>
      <c r="D668" s="3" t="s">
        <v>33</v>
      </c>
      <c r="E668" s="3" t="s">
        <v>1270</v>
      </c>
      <c r="F668" s="4">
        <v>43425.75277777778</v>
      </c>
      <c r="G668" s="3" t="s">
        <v>1269</v>
      </c>
      <c r="H668" s="3" t="s">
        <v>1250</v>
      </c>
      <c r="I668" s="3" t="s">
        <v>7044</v>
      </c>
      <c r="J668" s="3" t="s">
        <v>7046</v>
      </c>
      <c r="K668" s="3" t="s">
        <v>7036</v>
      </c>
      <c r="L668" s="5"/>
    </row>
    <row r="669" spans="1:12" ht="28.8" x14ac:dyDescent="0.55000000000000004">
      <c r="A669" s="9" t="str">
        <f>HYPERLINK("PDF\FOIA-FWS-2020-00724-0000668.pdf","FOIA-FWS-2020-00724-0000668")</f>
        <v>FOIA-FWS-2020-00724-0000668</v>
      </c>
      <c r="B669" s="3" t="s">
        <v>1271</v>
      </c>
      <c r="C669" s="3" t="s">
        <v>3</v>
      </c>
      <c r="D669" s="3" t="s">
        <v>33</v>
      </c>
      <c r="E669" s="3" t="s">
        <v>1272</v>
      </c>
      <c r="F669" s="4">
        <v>43427</v>
      </c>
      <c r="G669" s="3"/>
      <c r="H669" s="3"/>
      <c r="I669" s="3" t="s">
        <v>7043</v>
      </c>
      <c r="J669" s="3"/>
      <c r="K669" s="3"/>
      <c r="L669" s="5"/>
    </row>
    <row r="670" spans="1:12" ht="28.8" x14ac:dyDescent="0.55000000000000004">
      <c r="A670" s="9" t="str">
        <f>HYPERLINK("PDF\FOIA-FWS-2020-00724-0000669.pdf","FOIA-FWS-2020-00724-0000669")</f>
        <v>FOIA-FWS-2020-00724-0000669</v>
      </c>
      <c r="B670" s="3" t="s">
        <v>1273</v>
      </c>
      <c r="C670" s="3" t="s">
        <v>3</v>
      </c>
      <c r="D670" s="3" t="s">
        <v>33</v>
      </c>
      <c r="E670" s="3" t="s">
        <v>1274</v>
      </c>
      <c r="F670" s="4">
        <v>43427</v>
      </c>
      <c r="G670" s="3"/>
      <c r="H670" s="3"/>
      <c r="I670" s="3" t="s">
        <v>7043</v>
      </c>
      <c r="J670" s="3"/>
      <c r="K670" s="3"/>
      <c r="L670" s="5"/>
    </row>
    <row r="671" spans="1:12" ht="28.8" x14ac:dyDescent="0.55000000000000004">
      <c r="A671" s="9" t="str">
        <f>HYPERLINK("PDF\FOIA-FWS-2020-00724-0000670.pdf","FOIA-FWS-2020-00724-0000670")</f>
        <v>FOIA-FWS-2020-00724-0000670</v>
      </c>
      <c r="B671" s="3" t="s">
        <v>1275</v>
      </c>
      <c r="C671" s="3" t="s">
        <v>3</v>
      </c>
      <c r="D671" s="3" t="s">
        <v>160</v>
      </c>
      <c r="E671" s="3" t="s">
        <v>1276</v>
      </c>
      <c r="F671" s="4">
        <v>43427</v>
      </c>
      <c r="G671" s="3"/>
      <c r="H671" s="3"/>
      <c r="I671" s="3" t="s">
        <v>7043</v>
      </c>
      <c r="J671" s="3"/>
      <c r="K671" s="3"/>
      <c r="L671" s="5"/>
    </row>
    <row r="672" spans="1:12" ht="86.4" x14ac:dyDescent="0.55000000000000004">
      <c r="A672" s="9" t="str">
        <f>HYPERLINK("PDF\FOIA-FWS-2020-00724-0000671.pdf","FOIA-FWS-2020-00724-0000671")</f>
        <v>FOIA-FWS-2020-00724-0000671</v>
      </c>
      <c r="B672" s="3" t="s">
        <v>1277</v>
      </c>
      <c r="C672" s="3" t="s">
        <v>3</v>
      </c>
      <c r="D672" s="3" t="s">
        <v>33</v>
      </c>
      <c r="E672" s="3" t="s">
        <v>1279</v>
      </c>
      <c r="F672" s="4">
        <v>43427.613194444442</v>
      </c>
      <c r="G672" s="3" t="s">
        <v>955</v>
      </c>
      <c r="H672" s="3" t="s">
        <v>1278</v>
      </c>
      <c r="I672" s="3" t="s">
        <v>7043</v>
      </c>
      <c r="J672" s="3"/>
      <c r="K672" s="3"/>
      <c r="L672" s="5"/>
    </row>
    <row r="673" spans="1:12" ht="28.8" x14ac:dyDescent="0.55000000000000004">
      <c r="A673" s="9" t="str">
        <f>HYPERLINK("PDF\FOIA-FWS-2020-00724-0000672.pdf","FOIA-FWS-2020-00724-0000672")</f>
        <v>FOIA-FWS-2020-00724-0000672</v>
      </c>
      <c r="B673" s="3" t="s">
        <v>1277</v>
      </c>
      <c r="C673" s="3" t="s">
        <v>234</v>
      </c>
      <c r="D673" s="3" t="s">
        <v>33</v>
      </c>
      <c r="E673" s="3" t="s">
        <v>1280</v>
      </c>
      <c r="F673" s="4">
        <v>43427.613194444442</v>
      </c>
      <c r="G673" s="3"/>
      <c r="H673" s="3"/>
      <c r="I673" s="3" t="s">
        <v>7043</v>
      </c>
      <c r="J673" s="3"/>
      <c r="K673" s="3"/>
      <c r="L673" s="5"/>
    </row>
    <row r="674" spans="1:12" ht="28.8" x14ac:dyDescent="0.55000000000000004">
      <c r="A674" s="9" t="str">
        <f>HYPERLINK("PDF\FOIA-FWS-2020-00724-0000673.pdf","FOIA-FWS-2020-00724-0000673")</f>
        <v>FOIA-FWS-2020-00724-0000673</v>
      </c>
      <c r="B674" s="3" t="s">
        <v>1281</v>
      </c>
      <c r="C674" s="3" t="s">
        <v>3</v>
      </c>
      <c r="D674" s="3" t="s">
        <v>33</v>
      </c>
      <c r="E674" s="3" t="s">
        <v>1282</v>
      </c>
      <c r="F674" s="4">
        <v>43427.675694444442</v>
      </c>
      <c r="G674" s="3" t="s">
        <v>985</v>
      </c>
      <c r="H674" s="3" t="s">
        <v>1003</v>
      </c>
      <c r="I674" s="3" t="s">
        <v>7043</v>
      </c>
      <c r="J674" s="3"/>
      <c r="K674" s="3"/>
      <c r="L674" s="5"/>
    </row>
    <row r="675" spans="1:12" ht="28.8" x14ac:dyDescent="0.55000000000000004">
      <c r="A675" s="9" t="str">
        <f>HYPERLINK("PDF\FOIA-FWS-2020-00724-0000674.pdf","FOIA-FWS-2020-00724-0000674")</f>
        <v>FOIA-FWS-2020-00724-0000674</v>
      </c>
      <c r="B675" s="3" t="s">
        <v>1281</v>
      </c>
      <c r="C675" s="3" t="s">
        <v>234</v>
      </c>
      <c r="D675" s="3" t="s">
        <v>33</v>
      </c>
      <c r="E675" s="3" t="s">
        <v>1283</v>
      </c>
      <c r="F675" s="4">
        <v>43427.675694444442</v>
      </c>
      <c r="G675" s="3"/>
      <c r="H675" s="3"/>
      <c r="I675" s="3" t="s">
        <v>7043</v>
      </c>
      <c r="J675" s="3"/>
      <c r="K675" s="3"/>
      <c r="L675" s="5"/>
    </row>
    <row r="676" spans="1:12" ht="28.8" x14ac:dyDescent="0.55000000000000004">
      <c r="A676" s="9" t="str">
        <f>HYPERLINK("PDF\FOIA-FWS-2020-00724-0000675.pdf","FOIA-FWS-2020-00724-0000675")</f>
        <v>FOIA-FWS-2020-00724-0000675</v>
      </c>
      <c r="B676" s="3" t="s">
        <v>1284</v>
      </c>
      <c r="C676" s="3" t="s">
        <v>3</v>
      </c>
      <c r="D676" s="3" t="s">
        <v>33</v>
      </c>
      <c r="E676" s="3" t="s">
        <v>1285</v>
      </c>
      <c r="F676" s="4">
        <v>43427.695833333331</v>
      </c>
      <c r="G676" s="3" t="s">
        <v>1069</v>
      </c>
      <c r="H676" s="3" t="s">
        <v>1070</v>
      </c>
      <c r="I676" s="3" t="s">
        <v>7043</v>
      </c>
      <c r="J676" s="3"/>
      <c r="K676" s="3"/>
      <c r="L676" s="5"/>
    </row>
    <row r="677" spans="1:12" ht="28.8" x14ac:dyDescent="0.55000000000000004">
      <c r="A677" s="9" t="str">
        <f>HYPERLINK("PDF\FOIA-FWS-2020-00724-0000676.pdf","FOIA-FWS-2020-00724-0000676")</f>
        <v>FOIA-FWS-2020-00724-0000676</v>
      </c>
      <c r="B677" s="3" t="s">
        <v>1284</v>
      </c>
      <c r="C677" s="3" t="s">
        <v>234</v>
      </c>
      <c r="D677" s="3" t="s">
        <v>33</v>
      </c>
      <c r="E677" s="3" t="s">
        <v>1286</v>
      </c>
      <c r="F677" s="4">
        <v>43427.695833333331</v>
      </c>
      <c r="G677" s="3"/>
      <c r="H677" s="3"/>
      <c r="I677" s="3" t="s">
        <v>7043</v>
      </c>
      <c r="J677" s="3"/>
      <c r="K677" s="3"/>
      <c r="L677" s="5"/>
    </row>
    <row r="678" spans="1:12" ht="28.8" x14ac:dyDescent="0.55000000000000004">
      <c r="A678" s="9" t="str">
        <f>HYPERLINK("PDF\FOIA-FWS-2020-00724-0000677.pdf","FOIA-FWS-2020-00724-0000677")</f>
        <v>FOIA-FWS-2020-00724-0000677</v>
      </c>
      <c r="B678" s="3" t="s">
        <v>1287</v>
      </c>
      <c r="C678" s="3" t="s">
        <v>3</v>
      </c>
      <c r="D678" s="3" t="s">
        <v>33</v>
      </c>
      <c r="E678" s="3" t="s">
        <v>1288</v>
      </c>
      <c r="F678" s="4">
        <v>43427.702777777777</v>
      </c>
      <c r="G678" s="3" t="s">
        <v>985</v>
      </c>
      <c r="H678" s="3" t="s">
        <v>963</v>
      </c>
      <c r="I678" s="3" t="s">
        <v>7043</v>
      </c>
      <c r="J678" s="3"/>
      <c r="K678" s="3"/>
      <c r="L678" s="5"/>
    </row>
    <row r="679" spans="1:12" ht="28.8" x14ac:dyDescent="0.55000000000000004">
      <c r="A679" s="9" t="str">
        <f>HYPERLINK("PDF\FOIA-FWS-2020-00724-0000678.pdf","FOIA-FWS-2020-00724-0000678")</f>
        <v>FOIA-FWS-2020-00724-0000678</v>
      </c>
      <c r="B679" s="3" t="s">
        <v>1287</v>
      </c>
      <c r="C679" s="3" t="s">
        <v>234</v>
      </c>
      <c r="D679" s="3" t="s">
        <v>33</v>
      </c>
      <c r="E679" s="3" t="s">
        <v>1286</v>
      </c>
      <c r="F679" s="4">
        <v>43427.702777777777</v>
      </c>
      <c r="G679" s="3"/>
      <c r="H679" s="3"/>
      <c r="I679" s="3" t="s">
        <v>7043</v>
      </c>
      <c r="J679" s="3"/>
      <c r="K679" s="3"/>
      <c r="L679" s="5"/>
    </row>
    <row r="680" spans="1:12" ht="28.8" x14ac:dyDescent="0.55000000000000004">
      <c r="A680" s="9" t="str">
        <f>HYPERLINK("PDF\FOIA-FWS-2020-00724-0000679.pdf","FOIA-FWS-2020-00724-0000679")</f>
        <v>FOIA-FWS-2020-00724-0000679</v>
      </c>
      <c r="B680" s="3" t="s">
        <v>1289</v>
      </c>
      <c r="C680" s="3" t="s">
        <v>3</v>
      </c>
      <c r="D680" s="3" t="s">
        <v>33</v>
      </c>
      <c r="E680" s="3" t="s">
        <v>1290</v>
      </c>
      <c r="F680" s="4">
        <v>43427.765972222223</v>
      </c>
      <c r="G680" s="3" t="s">
        <v>1069</v>
      </c>
      <c r="H680" s="3" t="s">
        <v>1070</v>
      </c>
      <c r="I680" s="3" t="s">
        <v>7043</v>
      </c>
      <c r="J680" s="3"/>
      <c r="K680" s="3"/>
      <c r="L680" s="5"/>
    </row>
    <row r="681" spans="1:12" ht="28.8" x14ac:dyDescent="0.55000000000000004">
      <c r="A681" s="9" t="str">
        <f>HYPERLINK("PDF\FOIA-FWS-2020-00724-0000680.pdf","FOIA-FWS-2020-00724-0000680")</f>
        <v>FOIA-FWS-2020-00724-0000680</v>
      </c>
      <c r="B681" s="3" t="s">
        <v>1289</v>
      </c>
      <c r="C681" s="3" t="s">
        <v>234</v>
      </c>
      <c r="D681" s="3" t="s">
        <v>160</v>
      </c>
      <c r="E681" s="3" t="s">
        <v>1291</v>
      </c>
      <c r="F681" s="4">
        <v>43427.765972222223</v>
      </c>
      <c r="G681" s="3"/>
      <c r="H681" s="3"/>
      <c r="I681" s="3" t="s">
        <v>7043</v>
      </c>
      <c r="J681" s="3"/>
      <c r="K681" s="3"/>
      <c r="L681" s="5" t="str">
        <f>HYPERLINK("NATIVE_FILES\FOIA-FWS-2020-00724-0000680.xlsx","FOIA-FWS-2020-00724-0000680.xlsx")</f>
        <v>FOIA-FWS-2020-00724-0000680.xlsx</v>
      </c>
    </row>
    <row r="682" spans="1:12" ht="28.8" x14ac:dyDescent="0.55000000000000004">
      <c r="A682" s="9" t="str">
        <f>HYPERLINK("PDF\FOIA-FWS-2020-00724-0000681.pdf","FOIA-FWS-2020-00724-0000681")</f>
        <v>FOIA-FWS-2020-00724-0000681</v>
      </c>
      <c r="B682" s="3" t="s">
        <v>1292</v>
      </c>
      <c r="C682" s="3" t="s">
        <v>3</v>
      </c>
      <c r="D682" s="3" t="s">
        <v>33</v>
      </c>
      <c r="E682" s="3" t="s">
        <v>1293</v>
      </c>
      <c r="F682" s="4">
        <v>43427.824999999997</v>
      </c>
      <c r="G682" s="3" t="s">
        <v>1069</v>
      </c>
      <c r="H682" s="3" t="s">
        <v>1070</v>
      </c>
      <c r="I682" s="3" t="s">
        <v>7043</v>
      </c>
      <c r="J682" s="3"/>
      <c r="K682" s="3"/>
      <c r="L682" s="5"/>
    </row>
    <row r="683" spans="1:12" ht="28.8" x14ac:dyDescent="0.55000000000000004">
      <c r="A683" s="9" t="str">
        <f>HYPERLINK("PDF\FOIA-FWS-2020-00724-0000682.pdf","FOIA-FWS-2020-00724-0000682")</f>
        <v>FOIA-FWS-2020-00724-0000682</v>
      </c>
      <c r="B683" s="3" t="s">
        <v>1292</v>
      </c>
      <c r="C683" s="3" t="s">
        <v>234</v>
      </c>
      <c r="D683" s="3" t="s">
        <v>33</v>
      </c>
      <c r="E683" s="3" t="s">
        <v>1294</v>
      </c>
      <c r="F683" s="4">
        <v>43427.824999999997</v>
      </c>
      <c r="G683" s="3"/>
      <c r="H683" s="3"/>
      <c r="I683" s="3" t="s">
        <v>7043</v>
      </c>
      <c r="J683" s="3"/>
      <c r="K683" s="3"/>
      <c r="L683" s="5"/>
    </row>
    <row r="684" spans="1:12" ht="43.2" x14ac:dyDescent="0.55000000000000004">
      <c r="A684" s="9" t="str">
        <f>HYPERLINK("PDF\FOIA-FWS-2020-00724-0000683.pdf","FOIA-FWS-2020-00724-0000683")</f>
        <v>FOIA-FWS-2020-00724-0000683</v>
      </c>
      <c r="B684" s="3" t="s">
        <v>1295</v>
      </c>
      <c r="C684" s="3" t="s">
        <v>3</v>
      </c>
      <c r="D684" s="3" t="s">
        <v>160</v>
      </c>
      <c r="E684" s="3" t="s">
        <v>1296</v>
      </c>
      <c r="F684" s="4">
        <v>43430</v>
      </c>
      <c r="G684" s="3"/>
      <c r="H684" s="3"/>
      <c r="I684" s="3" t="s">
        <v>7043</v>
      </c>
      <c r="J684" s="3"/>
      <c r="K684" s="3"/>
      <c r="L684" s="5"/>
    </row>
    <row r="685" spans="1:12" ht="57.6" x14ac:dyDescent="0.55000000000000004">
      <c r="A685" s="9" t="str">
        <f>HYPERLINK("PDF\FOIA-FWS-2020-00724-0000684.pdf","FOIA-FWS-2020-00724-0000684")</f>
        <v>FOIA-FWS-2020-00724-0000684</v>
      </c>
      <c r="B685" s="3" t="s">
        <v>1297</v>
      </c>
      <c r="C685" s="3" t="s">
        <v>3</v>
      </c>
      <c r="D685" s="3" t="s">
        <v>33</v>
      </c>
      <c r="E685" s="3" t="s">
        <v>1299</v>
      </c>
      <c r="F685" s="4">
        <v>43430.488194444442</v>
      </c>
      <c r="G685" s="3" t="s">
        <v>1298</v>
      </c>
      <c r="H685" s="3" t="s">
        <v>1070</v>
      </c>
      <c r="I685" s="3" t="s">
        <v>7043</v>
      </c>
      <c r="J685" s="3"/>
      <c r="K685" s="3"/>
      <c r="L685" s="5"/>
    </row>
    <row r="686" spans="1:12" ht="28.8" x14ac:dyDescent="0.55000000000000004">
      <c r="A686" s="9" t="str">
        <f>HYPERLINK("PDF\FOIA-FWS-2020-00724-0000685.pdf","FOIA-FWS-2020-00724-0000685")</f>
        <v>FOIA-FWS-2020-00724-0000685</v>
      </c>
      <c r="B686" s="3" t="s">
        <v>1300</v>
      </c>
      <c r="C686" s="3" t="s">
        <v>3</v>
      </c>
      <c r="D686" s="3" t="s">
        <v>33</v>
      </c>
      <c r="E686" s="3" t="s">
        <v>1301</v>
      </c>
      <c r="F686" s="4">
        <v>43430.518750000003</v>
      </c>
      <c r="G686" s="3" t="s">
        <v>1073</v>
      </c>
      <c r="H686" s="3" t="s">
        <v>1069</v>
      </c>
      <c r="I686" s="3" t="s">
        <v>7043</v>
      </c>
      <c r="J686" s="3"/>
      <c r="K686" s="3"/>
      <c r="L686" s="5"/>
    </row>
    <row r="687" spans="1:12" ht="28.8" x14ac:dyDescent="0.55000000000000004">
      <c r="A687" s="9" t="str">
        <f>HYPERLINK("PDF\FOIA-FWS-2020-00724-0000686.pdf","FOIA-FWS-2020-00724-0000686")</f>
        <v>FOIA-FWS-2020-00724-0000686</v>
      </c>
      <c r="B687" s="3" t="s">
        <v>1300</v>
      </c>
      <c r="C687" s="3" t="s">
        <v>234</v>
      </c>
      <c r="D687" s="3" t="s">
        <v>33</v>
      </c>
      <c r="E687" s="3" t="s">
        <v>1302</v>
      </c>
      <c r="F687" s="4">
        <v>43430.518750000003</v>
      </c>
      <c r="G687" s="3"/>
      <c r="H687" s="3"/>
      <c r="I687" s="3" t="s">
        <v>7043</v>
      </c>
      <c r="J687" s="3"/>
      <c r="K687" s="3"/>
      <c r="L687" s="5"/>
    </row>
    <row r="688" spans="1:12" ht="28.8" x14ac:dyDescent="0.55000000000000004">
      <c r="A688" s="9" t="str">
        <f>HYPERLINK("PDF\FOIA-FWS-2020-00724-0000687.pdf","FOIA-FWS-2020-00724-0000687")</f>
        <v>FOIA-FWS-2020-00724-0000687</v>
      </c>
      <c r="B688" s="3" t="s">
        <v>1303</v>
      </c>
      <c r="C688" s="3" t="s">
        <v>3</v>
      </c>
      <c r="D688" s="3" t="s">
        <v>33</v>
      </c>
      <c r="E688" s="3" t="s">
        <v>1304</v>
      </c>
      <c r="F688" s="4">
        <v>43430.659722222219</v>
      </c>
      <c r="G688" s="3" t="s">
        <v>985</v>
      </c>
      <c r="H688" s="3" t="s">
        <v>1135</v>
      </c>
      <c r="I688" s="3" t="s">
        <v>7043</v>
      </c>
      <c r="J688" s="3"/>
      <c r="K688" s="3"/>
      <c r="L688" s="5"/>
    </row>
    <row r="689" spans="1:12" ht="28.8" x14ac:dyDescent="0.55000000000000004">
      <c r="A689" s="9" t="str">
        <f>HYPERLINK("PDF\FOIA-FWS-2020-00724-0000688.pdf","FOIA-FWS-2020-00724-0000688")</f>
        <v>FOIA-FWS-2020-00724-0000688</v>
      </c>
      <c r="B689" s="3" t="s">
        <v>1305</v>
      </c>
      <c r="C689" s="3" t="s">
        <v>3</v>
      </c>
      <c r="D689" s="3" t="s">
        <v>33</v>
      </c>
      <c r="E689" s="3" t="s">
        <v>1308</v>
      </c>
      <c r="F689" s="4">
        <v>43430.75277777778</v>
      </c>
      <c r="G689" s="3" t="s">
        <v>1306</v>
      </c>
      <c r="H689" s="3" t="s">
        <v>1307</v>
      </c>
      <c r="I689" s="3" t="s">
        <v>7043</v>
      </c>
      <c r="J689" s="3"/>
      <c r="K689" s="3"/>
      <c r="L689" s="5"/>
    </row>
    <row r="690" spans="1:12" ht="28.8" x14ac:dyDescent="0.55000000000000004">
      <c r="A690" s="9" t="str">
        <f>HYPERLINK("PDF\FOIA-FWS-2020-00724-0000689.pdf","FOIA-FWS-2020-00724-0000689")</f>
        <v>FOIA-FWS-2020-00724-0000689</v>
      </c>
      <c r="B690" s="3" t="s">
        <v>1305</v>
      </c>
      <c r="C690" s="3" t="s">
        <v>234</v>
      </c>
      <c r="D690" s="3" t="s">
        <v>4</v>
      </c>
      <c r="E690" s="3" t="s">
        <v>1309</v>
      </c>
      <c r="F690" s="4">
        <v>43430.75277777778</v>
      </c>
      <c r="G690" s="3"/>
      <c r="H690" s="3"/>
      <c r="I690" s="3" t="s">
        <v>7043</v>
      </c>
      <c r="J690" s="3"/>
      <c r="K690" s="3"/>
      <c r="L690" s="5"/>
    </row>
    <row r="691" spans="1:12" ht="28.8" x14ac:dyDescent="0.55000000000000004">
      <c r="A691" s="9" t="str">
        <f>HYPERLINK("PDF\FOIA-FWS-2020-00724-0000690.pdf","FOIA-FWS-2020-00724-0000690")</f>
        <v>FOIA-FWS-2020-00724-0000690</v>
      </c>
      <c r="B691" s="3" t="s">
        <v>1310</v>
      </c>
      <c r="C691" s="3" t="s">
        <v>3</v>
      </c>
      <c r="D691" s="3" t="s">
        <v>33</v>
      </c>
      <c r="E691" s="3" t="s">
        <v>1311</v>
      </c>
      <c r="F691" s="4">
        <v>43431</v>
      </c>
      <c r="G691" s="3"/>
      <c r="H691" s="3"/>
      <c r="I691" s="3" t="s">
        <v>7043</v>
      </c>
      <c r="J691" s="3"/>
      <c r="K691" s="3"/>
      <c r="L691" s="5"/>
    </row>
    <row r="692" spans="1:12" ht="28.8" x14ac:dyDescent="0.55000000000000004">
      <c r="A692" s="9" t="str">
        <f>HYPERLINK("PDF\FOIA-FWS-2020-00724-0000691.pdf","FOIA-FWS-2020-00724-0000691")</f>
        <v>FOIA-FWS-2020-00724-0000691</v>
      </c>
      <c r="B692" s="3" t="s">
        <v>1312</v>
      </c>
      <c r="C692" s="3" t="s">
        <v>3</v>
      </c>
      <c r="D692" s="3" t="s">
        <v>33</v>
      </c>
      <c r="E692" s="3" t="s">
        <v>583</v>
      </c>
      <c r="F692" s="4">
        <v>43431</v>
      </c>
      <c r="G692" s="3"/>
      <c r="H692" s="3"/>
      <c r="I692" s="3" t="s">
        <v>7043</v>
      </c>
      <c r="J692" s="3"/>
      <c r="K692" s="3"/>
      <c r="L692" s="5"/>
    </row>
    <row r="693" spans="1:12" ht="28.8" x14ac:dyDescent="0.55000000000000004">
      <c r="A693" s="9" t="str">
        <f>HYPERLINK("PDF\FOIA-FWS-2020-00724-0000692.pdf","FOIA-FWS-2020-00724-0000692")</f>
        <v>FOIA-FWS-2020-00724-0000692</v>
      </c>
      <c r="B693" s="3" t="s">
        <v>1313</v>
      </c>
      <c r="C693" s="3" t="s">
        <v>3</v>
      </c>
      <c r="D693" s="3" t="s">
        <v>33</v>
      </c>
      <c r="E693" s="3" t="s">
        <v>1314</v>
      </c>
      <c r="F693" s="4">
        <v>43431</v>
      </c>
      <c r="G693" s="3"/>
      <c r="H693" s="3"/>
      <c r="I693" s="3" t="s">
        <v>7043</v>
      </c>
      <c r="J693" s="3"/>
      <c r="K693" s="3"/>
      <c r="L693" s="5"/>
    </row>
    <row r="694" spans="1:12" ht="28.8" x14ac:dyDescent="0.55000000000000004">
      <c r="A694" s="9" t="str">
        <f>HYPERLINK("PDF\FOIA-FWS-2020-00724-0000693.pdf","FOIA-FWS-2020-00724-0000693")</f>
        <v>FOIA-FWS-2020-00724-0000693</v>
      </c>
      <c r="B694" s="3" t="s">
        <v>1315</v>
      </c>
      <c r="C694" s="3" t="s">
        <v>3</v>
      </c>
      <c r="D694" s="3" t="s">
        <v>33</v>
      </c>
      <c r="E694" s="3" t="s">
        <v>1316</v>
      </c>
      <c r="F694" s="4">
        <v>43431.443749999999</v>
      </c>
      <c r="G694" s="3" t="s">
        <v>985</v>
      </c>
      <c r="H694" s="3" t="s">
        <v>963</v>
      </c>
      <c r="I694" s="3" t="s">
        <v>7043</v>
      </c>
      <c r="J694" s="3"/>
      <c r="K694" s="3"/>
      <c r="L694" s="5"/>
    </row>
    <row r="695" spans="1:12" ht="28.8" x14ac:dyDescent="0.55000000000000004">
      <c r="A695" s="9" t="str">
        <f>HYPERLINK("PDF\FOIA-FWS-2020-00724-0000694.pdf","FOIA-FWS-2020-00724-0000694")</f>
        <v>FOIA-FWS-2020-00724-0000694</v>
      </c>
      <c r="B695" s="3" t="s">
        <v>1317</v>
      </c>
      <c r="C695" s="3" t="s">
        <v>3</v>
      </c>
      <c r="D695" s="3" t="s">
        <v>33</v>
      </c>
      <c r="E695" s="3" t="s">
        <v>1318</v>
      </c>
      <c r="F695" s="4">
        <v>43431.467361111114</v>
      </c>
      <c r="G695" s="3"/>
      <c r="H695" s="3"/>
      <c r="I695" s="3" t="s">
        <v>7043</v>
      </c>
      <c r="J695" s="3"/>
      <c r="K695" s="3"/>
      <c r="L695" s="5"/>
    </row>
    <row r="696" spans="1:12" ht="28.8" x14ac:dyDescent="0.55000000000000004">
      <c r="A696" s="9" t="str">
        <f>HYPERLINK("PDF\FOIA-FWS-2020-00724-0000695.pdf","FOIA-FWS-2020-00724-0000695")</f>
        <v>FOIA-FWS-2020-00724-0000695</v>
      </c>
      <c r="B696" s="3" t="s">
        <v>1319</v>
      </c>
      <c r="C696" s="3" t="s">
        <v>3</v>
      </c>
      <c r="D696" s="3" t="s">
        <v>33</v>
      </c>
      <c r="E696" s="3" t="s">
        <v>1320</v>
      </c>
      <c r="F696" s="4">
        <v>43431.467361111114</v>
      </c>
      <c r="G696" s="3"/>
      <c r="H696" s="3"/>
      <c r="I696" s="3" t="s">
        <v>7043</v>
      </c>
      <c r="J696" s="3"/>
      <c r="K696" s="3"/>
      <c r="L696" s="5"/>
    </row>
    <row r="697" spans="1:12" ht="28.8" x14ac:dyDescent="0.55000000000000004">
      <c r="A697" s="9" t="str">
        <f>HYPERLINK("PDF\FOIA-FWS-2020-00724-0000696.pdf","FOIA-FWS-2020-00724-0000696")</f>
        <v>FOIA-FWS-2020-00724-0000696</v>
      </c>
      <c r="B697" s="3" t="s">
        <v>1321</v>
      </c>
      <c r="C697" s="3" t="s">
        <v>3</v>
      </c>
      <c r="D697" s="3" t="s">
        <v>33</v>
      </c>
      <c r="E697" s="3" t="s">
        <v>1323</v>
      </c>
      <c r="F697" s="4">
        <v>43431.506944444445</v>
      </c>
      <c r="G697" s="3" t="s">
        <v>1306</v>
      </c>
      <c r="H697" s="3" t="s">
        <v>1322</v>
      </c>
      <c r="I697" s="3" t="s">
        <v>7043</v>
      </c>
      <c r="J697" s="3"/>
      <c r="K697" s="3"/>
      <c r="L697" s="5"/>
    </row>
    <row r="698" spans="1:12" ht="28.8" x14ac:dyDescent="0.55000000000000004">
      <c r="A698" s="9" t="str">
        <f>HYPERLINK("PDF\FOIA-FWS-2020-00724-0000697.pdf","FOIA-FWS-2020-00724-0000697")</f>
        <v>FOIA-FWS-2020-00724-0000697</v>
      </c>
      <c r="B698" s="3" t="s">
        <v>1321</v>
      </c>
      <c r="C698" s="3" t="s">
        <v>234</v>
      </c>
      <c r="D698" s="3" t="s">
        <v>4</v>
      </c>
      <c r="E698" s="3" t="s">
        <v>1309</v>
      </c>
      <c r="F698" s="4">
        <v>43431.506944444445</v>
      </c>
      <c r="G698" s="3"/>
      <c r="H698" s="3"/>
      <c r="I698" s="3" t="s">
        <v>7043</v>
      </c>
      <c r="J698" s="3"/>
      <c r="K698" s="3"/>
      <c r="L698" s="5"/>
    </row>
    <row r="699" spans="1:12" ht="28.8" x14ac:dyDescent="0.55000000000000004">
      <c r="A699" s="9" t="str">
        <f>HYPERLINK("PDF\FOIA-FWS-2020-00724-0000698.pdf","FOIA-FWS-2020-00724-0000698")</f>
        <v>FOIA-FWS-2020-00724-0000698</v>
      </c>
      <c r="B699" s="3" t="s">
        <v>1324</v>
      </c>
      <c r="C699" s="3" t="s">
        <v>3</v>
      </c>
      <c r="D699" s="3" t="s">
        <v>33</v>
      </c>
      <c r="E699" s="3" t="s">
        <v>1325</v>
      </c>
      <c r="F699" s="4">
        <v>43432</v>
      </c>
      <c r="G699" s="3"/>
      <c r="H699" s="3"/>
      <c r="I699" s="3" t="s">
        <v>1326</v>
      </c>
      <c r="J699" s="3"/>
      <c r="K699" s="3"/>
      <c r="L699" s="5"/>
    </row>
    <row r="700" spans="1:12" ht="28.8" x14ac:dyDescent="0.55000000000000004">
      <c r="A700" s="9" t="str">
        <f>HYPERLINK("PDF\FOIA-FWS-2020-00724-0000699.pdf","FOIA-FWS-2020-00724-0000699")</f>
        <v>FOIA-FWS-2020-00724-0000699</v>
      </c>
      <c r="B700" s="3" t="s">
        <v>1327</v>
      </c>
      <c r="C700" s="3" t="s">
        <v>3</v>
      </c>
      <c r="D700" s="3" t="s">
        <v>160</v>
      </c>
      <c r="E700" s="3" t="s">
        <v>1328</v>
      </c>
      <c r="F700" s="4">
        <v>43432</v>
      </c>
      <c r="G700" s="3"/>
      <c r="H700" s="3"/>
      <c r="I700" s="3" t="s">
        <v>7043</v>
      </c>
      <c r="J700" s="3"/>
      <c r="K700" s="3"/>
      <c r="L700" s="5"/>
    </row>
    <row r="701" spans="1:12" ht="43.2" x14ac:dyDescent="0.55000000000000004">
      <c r="A701" s="9" t="str">
        <f>HYPERLINK("PDF\FOIA-FWS-2020-00724-0000700.pdf","FOIA-FWS-2020-00724-0000700")</f>
        <v>FOIA-FWS-2020-00724-0000700</v>
      </c>
      <c r="B701" s="3" t="s">
        <v>1329</v>
      </c>
      <c r="C701" s="3" t="s">
        <v>3</v>
      </c>
      <c r="D701" s="3" t="s">
        <v>160</v>
      </c>
      <c r="E701" s="3" t="s">
        <v>1330</v>
      </c>
      <c r="F701" s="4">
        <v>43432</v>
      </c>
      <c r="G701" s="3"/>
      <c r="H701" s="3"/>
      <c r="I701" s="3" t="s">
        <v>7043</v>
      </c>
      <c r="J701" s="3"/>
      <c r="K701" s="3"/>
      <c r="L701" s="5"/>
    </row>
    <row r="702" spans="1:12" ht="28.8" x14ac:dyDescent="0.55000000000000004">
      <c r="A702" s="9" t="str">
        <f>HYPERLINK("PDF\FOIA-FWS-2020-00724-0000701.pdf","FOIA-FWS-2020-00724-0000701")</f>
        <v>FOIA-FWS-2020-00724-0000701</v>
      </c>
      <c r="B702" s="3" t="s">
        <v>1331</v>
      </c>
      <c r="C702" s="3" t="s">
        <v>3</v>
      </c>
      <c r="D702" s="3" t="s">
        <v>33</v>
      </c>
      <c r="E702" s="3" t="s">
        <v>1333</v>
      </c>
      <c r="F702" s="4">
        <v>43432.563194444447</v>
      </c>
      <c r="G702" s="3" t="s">
        <v>955</v>
      </c>
      <c r="H702" s="3" t="s">
        <v>1332</v>
      </c>
      <c r="I702" s="3" t="s">
        <v>7043</v>
      </c>
      <c r="J702" s="3"/>
      <c r="K702" s="3"/>
      <c r="L702" s="5"/>
    </row>
    <row r="703" spans="1:12" ht="43.2" x14ac:dyDescent="0.55000000000000004">
      <c r="A703" s="9" t="str">
        <f>HYPERLINK("PDF\FOIA-FWS-2020-00724-0000702.pdf","FOIA-FWS-2020-00724-0000702")</f>
        <v>FOIA-FWS-2020-00724-0000702</v>
      </c>
      <c r="B703" s="3" t="s">
        <v>1334</v>
      </c>
      <c r="C703" s="3" t="s">
        <v>3</v>
      </c>
      <c r="D703" s="3" t="s">
        <v>33</v>
      </c>
      <c r="E703" s="3" t="s">
        <v>1336</v>
      </c>
      <c r="F703" s="4">
        <v>43432.633333333331</v>
      </c>
      <c r="G703" s="3" t="s">
        <v>945</v>
      </c>
      <c r="H703" s="3" t="s">
        <v>1335</v>
      </c>
      <c r="I703" s="3" t="s">
        <v>864</v>
      </c>
      <c r="J703" s="3" t="s">
        <v>7046</v>
      </c>
      <c r="K703" s="3" t="s">
        <v>7036</v>
      </c>
      <c r="L703" s="5"/>
    </row>
    <row r="704" spans="1:12" ht="57.6" x14ac:dyDescent="0.55000000000000004">
      <c r="A704" s="9" t="str">
        <f>HYPERLINK("PDF\FOIA-FWS-2020-00724-0000703.pdf","FOIA-FWS-2020-00724-0000703")</f>
        <v>FOIA-FWS-2020-00724-0000703</v>
      </c>
      <c r="B704" s="3" t="s">
        <v>1334</v>
      </c>
      <c r="C704" s="3" t="s">
        <v>234</v>
      </c>
      <c r="D704" s="3" t="s">
        <v>33</v>
      </c>
      <c r="E704" s="3" t="s">
        <v>867</v>
      </c>
      <c r="F704" s="4">
        <v>43432.633333333331</v>
      </c>
      <c r="G704" s="3" t="s">
        <v>1337</v>
      </c>
      <c r="H704" s="3" t="s">
        <v>1338</v>
      </c>
      <c r="I704" s="3" t="s">
        <v>864</v>
      </c>
      <c r="J704" s="3" t="s">
        <v>7046</v>
      </c>
      <c r="K704" s="3" t="s">
        <v>7036</v>
      </c>
      <c r="L704" s="5"/>
    </row>
    <row r="705" spans="1:12" ht="43.2" x14ac:dyDescent="0.55000000000000004">
      <c r="A705" s="9" t="str">
        <f>HYPERLINK("PDF\FOIA-FWS-2020-00724-0000704.pdf","FOIA-FWS-2020-00724-0000704")</f>
        <v>FOIA-FWS-2020-00724-0000704</v>
      </c>
      <c r="B705" s="3" t="s">
        <v>1339</v>
      </c>
      <c r="C705" s="3" t="s">
        <v>3</v>
      </c>
      <c r="D705" s="3" t="s">
        <v>33</v>
      </c>
      <c r="E705" s="3" t="s">
        <v>1341</v>
      </c>
      <c r="F705" s="4">
        <v>43432.633333333331</v>
      </c>
      <c r="G705" s="3" t="s">
        <v>945</v>
      </c>
      <c r="H705" s="3" t="s">
        <v>1340</v>
      </c>
      <c r="I705" s="3" t="s">
        <v>864</v>
      </c>
      <c r="J705" s="3" t="s">
        <v>7046</v>
      </c>
      <c r="K705" s="3" t="s">
        <v>7036</v>
      </c>
      <c r="L705" s="5"/>
    </row>
    <row r="706" spans="1:12" ht="57.6" x14ac:dyDescent="0.55000000000000004">
      <c r="A706" s="9" t="str">
        <f>HYPERLINK("PDF\FOIA-FWS-2020-00724-0000705.pdf","FOIA-FWS-2020-00724-0000705")</f>
        <v>FOIA-FWS-2020-00724-0000705</v>
      </c>
      <c r="B706" s="3" t="s">
        <v>1339</v>
      </c>
      <c r="C706" s="3" t="s">
        <v>234</v>
      </c>
      <c r="D706" s="3" t="s">
        <v>33</v>
      </c>
      <c r="E706" s="3" t="s">
        <v>867</v>
      </c>
      <c r="F706" s="4">
        <v>43432.633333333331</v>
      </c>
      <c r="G706" s="3" t="s">
        <v>1337</v>
      </c>
      <c r="H706" s="3" t="s">
        <v>1342</v>
      </c>
      <c r="I706" s="3" t="s">
        <v>864</v>
      </c>
      <c r="J706" s="3" t="s">
        <v>7046</v>
      </c>
      <c r="K706" s="3" t="s">
        <v>7036</v>
      </c>
      <c r="L706" s="5"/>
    </row>
    <row r="707" spans="1:12" ht="72" x14ac:dyDescent="0.55000000000000004">
      <c r="A707" s="9" t="str">
        <f>HYPERLINK("PDF\FOIA-FWS-2020-00724-0000706.pdf","FOIA-FWS-2020-00724-0000706")</f>
        <v>FOIA-FWS-2020-00724-0000706</v>
      </c>
      <c r="B707" s="3" t="s">
        <v>1343</v>
      </c>
      <c r="C707" s="3" t="s">
        <v>3</v>
      </c>
      <c r="D707" s="3" t="s">
        <v>33</v>
      </c>
      <c r="E707" s="3" t="s">
        <v>1346</v>
      </c>
      <c r="F707" s="4">
        <v>43432.633333333331</v>
      </c>
      <c r="G707" s="3" t="s">
        <v>1344</v>
      </c>
      <c r="H707" s="3" t="s">
        <v>1345</v>
      </c>
      <c r="I707" s="3" t="s">
        <v>864</v>
      </c>
      <c r="J707" s="3" t="s">
        <v>7046</v>
      </c>
      <c r="K707" s="3" t="s">
        <v>7036</v>
      </c>
      <c r="L707" s="5"/>
    </row>
    <row r="708" spans="1:12" ht="57.6" x14ac:dyDescent="0.55000000000000004">
      <c r="A708" s="9" t="str">
        <f>HYPERLINK("PDF\FOIA-FWS-2020-00724-0000707.pdf","FOIA-FWS-2020-00724-0000707")</f>
        <v>FOIA-FWS-2020-00724-0000707</v>
      </c>
      <c r="B708" s="3" t="s">
        <v>1343</v>
      </c>
      <c r="C708" s="3" t="s">
        <v>234</v>
      </c>
      <c r="D708" s="3" t="s">
        <v>33</v>
      </c>
      <c r="E708" s="3" t="s">
        <v>867</v>
      </c>
      <c r="F708" s="4">
        <v>43432.633333333331</v>
      </c>
      <c r="G708" s="3" t="s">
        <v>1337</v>
      </c>
      <c r="H708" s="3" t="s">
        <v>1347</v>
      </c>
      <c r="I708" s="3" t="s">
        <v>7043</v>
      </c>
      <c r="J708" s="3"/>
      <c r="K708" s="3"/>
      <c r="L708" s="5" t="str">
        <f>HYPERLINK("NATIVE_FILES\FOIA-FWS-2020-00724-0000707.ics","FOIA-FWS-2020-00724-0000707.ics")</f>
        <v>FOIA-FWS-2020-00724-0000707.ics</v>
      </c>
    </row>
    <row r="709" spans="1:12" ht="100.8" x14ac:dyDescent="0.55000000000000004">
      <c r="A709" s="9" t="str">
        <f>HYPERLINK("PDF\FOIA-FWS-2020-00724-0000708.pdf","FOIA-FWS-2020-00724-0000708")</f>
        <v>FOIA-FWS-2020-00724-0000708</v>
      </c>
      <c r="B709" s="3" t="s">
        <v>1348</v>
      </c>
      <c r="C709" s="3" t="s">
        <v>3</v>
      </c>
      <c r="D709" s="3" t="s">
        <v>33</v>
      </c>
      <c r="E709" s="3" t="s">
        <v>1350</v>
      </c>
      <c r="F709" s="4">
        <v>43432.643750000003</v>
      </c>
      <c r="G709" s="3" t="s">
        <v>1184</v>
      </c>
      <c r="H709" s="3" t="s">
        <v>1349</v>
      </c>
      <c r="I709" s="3" t="s">
        <v>7043</v>
      </c>
      <c r="J709" s="3"/>
      <c r="K709" s="3"/>
      <c r="L709" s="5"/>
    </row>
    <row r="710" spans="1:12" ht="28.8" x14ac:dyDescent="0.55000000000000004">
      <c r="A710" s="9" t="str">
        <f>HYPERLINK("PDF\FOIA-FWS-2020-00724-0000709.pdf","FOIA-FWS-2020-00724-0000709")</f>
        <v>FOIA-FWS-2020-00724-0000709</v>
      </c>
      <c r="B710" s="3" t="s">
        <v>1348</v>
      </c>
      <c r="C710" s="3" t="s">
        <v>234</v>
      </c>
      <c r="D710" s="3" t="s">
        <v>33</v>
      </c>
      <c r="E710" s="3" t="s">
        <v>1351</v>
      </c>
      <c r="F710" s="4">
        <v>43432.643750000003</v>
      </c>
      <c r="G710" s="3"/>
      <c r="H710" s="3"/>
      <c r="I710" s="3" t="s">
        <v>7043</v>
      </c>
      <c r="J710" s="3"/>
      <c r="K710" s="3"/>
      <c r="L710" s="5"/>
    </row>
    <row r="711" spans="1:12" ht="28.8" x14ac:dyDescent="0.55000000000000004">
      <c r="A711" s="9" t="str">
        <f>HYPERLINK("PDF\FOIA-FWS-2020-00724-0000710.pdf","FOIA-FWS-2020-00724-0000710")</f>
        <v>FOIA-FWS-2020-00724-0000710</v>
      </c>
      <c r="B711" s="3" t="s">
        <v>1348</v>
      </c>
      <c r="C711" s="3" t="s">
        <v>234</v>
      </c>
      <c r="D711" s="3" t="s">
        <v>33</v>
      </c>
      <c r="E711" s="3" t="s">
        <v>1352</v>
      </c>
      <c r="F711" s="4">
        <v>43432.643750000003</v>
      </c>
      <c r="G711" s="3"/>
      <c r="H711" s="3"/>
      <c r="I711" s="3" t="s">
        <v>7043</v>
      </c>
      <c r="J711" s="3"/>
      <c r="K711" s="3"/>
      <c r="L711" s="5"/>
    </row>
    <row r="712" spans="1:12" ht="28.8" x14ac:dyDescent="0.55000000000000004">
      <c r="A712" s="9" t="str">
        <f>HYPERLINK("PDF\FOIA-FWS-2020-00724-0000711.pdf","FOIA-FWS-2020-00724-0000711")</f>
        <v>FOIA-FWS-2020-00724-0000711</v>
      </c>
      <c r="B712" s="3" t="s">
        <v>1353</v>
      </c>
      <c r="C712" s="3" t="s">
        <v>3</v>
      </c>
      <c r="D712" s="3" t="s">
        <v>33</v>
      </c>
      <c r="E712" s="3" t="s">
        <v>1354</v>
      </c>
      <c r="F712" s="4">
        <v>43432.769444444442</v>
      </c>
      <c r="G712" s="3" t="s">
        <v>1069</v>
      </c>
      <c r="H712" s="3" t="s">
        <v>1070</v>
      </c>
      <c r="I712" s="3" t="s">
        <v>7043</v>
      </c>
      <c r="J712" s="3"/>
      <c r="K712" s="3"/>
      <c r="L712" s="5"/>
    </row>
    <row r="713" spans="1:12" ht="28.8" x14ac:dyDescent="0.55000000000000004">
      <c r="A713" s="9" t="str">
        <f>HYPERLINK("PDF\FOIA-FWS-2020-00724-0000712.pdf","FOIA-FWS-2020-00724-0000712")</f>
        <v>FOIA-FWS-2020-00724-0000712</v>
      </c>
      <c r="B713" s="3" t="s">
        <v>1353</v>
      </c>
      <c r="C713" s="3" t="s">
        <v>234</v>
      </c>
      <c r="D713" s="3" t="s">
        <v>33</v>
      </c>
      <c r="E713" s="3" t="s">
        <v>1355</v>
      </c>
      <c r="F713" s="4">
        <v>43432.769444444442</v>
      </c>
      <c r="G713" s="3"/>
      <c r="H713" s="3"/>
      <c r="I713" s="3" t="s">
        <v>7043</v>
      </c>
      <c r="J713" s="3"/>
      <c r="K713" s="3"/>
      <c r="L713" s="5" t="str">
        <f>HYPERLINK("NATIVE_FILES\FOIA-FWS-2020-00724-0000712.xlsx","FOIA-FWS-2020-00724-0000712.xlsx")</f>
        <v>FOIA-FWS-2020-00724-0000712.xlsx</v>
      </c>
    </row>
    <row r="714" spans="1:12" ht="28.8" x14ac:dyDescent="0.55000000000000004">
      <c r="A714" s="9" t="str">
        <f>HYPERLINK("PDF\FOIA-FWS-2020-00724-0000713.pdf","FOIA-FWS-2020-00724-0000713")</f>
        <v>FOIA-FWS-2020-00724-0000713</v>
      </c>
      <c r="B714" s="3" t="s">
        <v>1353</v>
      </c>
      <c r="C714" s="3" t="s">
        <v>234</v>
      </c>
      <c r="D714" s="3" t="s">
        <v>33</v>
      </c>
      <c r="E714" s="3" t="s">
        <v>1356</v>
      </c>
      <c r="F714" s="4">
        <v>43432.769444444442</v>
      </c>
      <c r="G714" s="3"/>
      <c r="H714" s="3"/>
      <c r="I714" s="3" t="s">
        <v>7043</v>
      </c>
      <c r="J714" s="3"/>
      <c r="K714" s="3"/>
      <c r="L714" s="5" t="str">
        <f>HYPERLINK("NATIVE_FILES\FOIA-FWS-2020-00724-0000713.xlsx","FOIA-FWS-2020-00724-0000713.xlsx")</f>
        <v>FOIA-FWS-2020-00724-0000713.xlsx</v>
      </c>
    </row>
    <row r="715" spans="1:12" ht="28.8" x14ac:dyDescent="0.55000000000000004">
      <c r="A715" s="9" t="str">
        <f>HYPERLINK("PDF\FOIA-FWS-2020-00724-0000714.pdf","FOIA-FWS-2020-00724-0000714")</f>
        <v>FOIA-FWS-2020-00724-0000714</v>
      </c>
      <c r="B715" s="3" t="s">
        <v>1353</v>
      </c>
      <c r="C715" s="3" t="s">
        <v>234</v>
      </c>
      <c r="D715" s="3" t="s">
        <v>33</v>
      </c>
      <c r="E715" s="3" t="s">
        <v>1357</v>
      </c>
      <c r="F715" s="4">
        <v>43432.769444444442</v>
      </c>
      <c r="G715" s="3"/>
      <c r="H715" s="3"/>
      <c r="I715" s="3" t="s">
        <v>7043</v>
      </c>
      <c r="J715" s="3"/>
      <c r="K715" s="3"/>
      <c r="L715" s="5"/>
    </row>
    <row r="716" spans="1:12" ht="28.8" x14ac:dyDescent="0.55000000000000004">
      <c r="A716" s="9" t="str">
        <f>HYPERLINK("PDF\FOIA-FWS-2020-00724-0000715.pdf","FOIA-FWS-2020-00724-0000715")</f>
        <v>FOIA-FWS-2020-00724-0000715</v>
      </c>
      <c r="B716" s="3" t="s">
        <v>1353</v>
      </c>
      <c r="C716" s="3" t="s">
        <v>234</v>
      </c>
      <c r="D716" s="3" t="s">
        <v>33</v>
      </c>
      <c r="E716" s="3" t="s">
        <v>1358</v>
      </c>
      <c r="F716" s="4">
        <v>43432.769444444442</v>
      </c>
      <c r="G716" s="3"/>
      <c r="H716" s="3"/>
      <c r="I716" s="3" t="s">
        <v>7043</v>
      </c>
      <c r="J716" s="3"/>
      <c r="K716" s="3"/>
      <c r="L716" s="5" t="str">
        <f>HYPERLINK("NATIVE_FILES\FOIA-FWS-2020-00724-0000715.xlsx","FOIA-FWS-2020-00724-0000715.xlsx")</f>
        <v>FOIA-FWS-2020-00724-0000715.xlsx</v>
      </c>
    </row>
    <row r="717" spans="1:12" ht="28.8" x14ac:dyDescent="0.55000000000000004">
      <c r="A717" s="9" t="str">
        <f>HYPERLINK("PDF\FOIA-FWS-2020-00724-0000716.pdf","FOIA-FWS-2020-00724-0000716")</f>
        <v>FOIA-FWS-2020-00724-0000716</v>
      </c>
      <c r="B717" s="3" t="s">
        <v>1359</v>
      </c>
      <c r="C717" s="3" t="s">
        <v>3</v>
      </c>
      <c r="D717" s="3" t="s">
        <v>33</v>
      </c>
      <c r="E717" s="3" t="s">
        <v>1360</v>
      </c>
      <c r="F717" s="4">
        <v>43432.78125</v>
      </c>
      <c r="G717" s="3" t="s">
        <v>1069</v>
      </c>
      <c r="H717" s="3" t="s">
        <v>1070</v>
      </c>
      <c r="I717" s="3" t="s">
        <v>7043</v>
      </c>
      <c r="J717" s="3"/>
      <c r="K717" s="3"/>
      <c r="L717" s="5"/>
    </row>
    <row r="718" spans="1:12" ht="28.8" x14ac:dyDescent="0.55000000000000004">
      <c r="A718" s="9" t="str">
        <f>HYPERLINK("PDF\FOIA-FWS-2020-00724-0000717.pdf","FOIA-FWS-2020-00724-0000717")</f>
        <v>FOIA-FWS-2020-00724-0000717</v>
      </c>
      <c r="B718" s="3" t="s">
        <v>1359</v>
      </c>
      <c r="C718" s="3" t="s">
        <v>234</v>
      </c>
      <c r="D718" s="3" t="s">
        <v>33</v>
      </c>
      <c r="E718" s="3" t="s">
        <v>1361</v>
      </c>
      <c r="F718" s="4">
        <v>43432.78125</v>
      </c>
      <c r="G718" s="3"/>
      <c r="H718" s="3"/>
      <c r="I718" s="3" t="s">
        <v>7043</v>
      </c>
      <c r="J718" s="3"/>
      <c r="K718" s="3"/>
      <c r="L718" s="5"/>
    </row>
    <row r="719" spans="1:12" ht="28.8" x14ac:dyDescent="0.55000000000000004">
      <c r="A719" s="9" t="str">
        <f>HYPERLINK("PDF\FOIA-FWS-2020-00724-0000718.pdf","FOIA-FWS-2020-00724-0000718")</f>
        <v>FOIA-FWS-2020-00724-0000718</v>
      </c>
      <c r="B719" s="3" t="s">
        <v>1362</v>
      </c>
      <c r="C719" s="3" t="s">
        <v>3</v>
      </c>
      <c r="D719" s="3" t="s">
        <v>33</v>
      </c>
      <c r="E719" s="3" t="s">
        <v>1363</v>
      </c>
      <c r="F719" s="4">
        <v>43433.480555555558</v>
      </c>
      <c r="G719" s="3" t="s">
        <v>945</v>
      </c>
      <c r="H719" s="3" t="s">
        <v>1119</v>
      </c>
      <c r="I719" s="3" t="s">
        <v>7043</v>
      </c>
      <c r="J719" s="3"/>
      <c r="K719" s="3"/>
      <c r="L719" s="5"/>
    </row>
    <row r="720" spans="1:12" ht="28.8" x14ac:dyDescent="0.55000000000000004">
      <c r="A720" s="9" t="str">
        <f>HYPERLINK("PDF\FOIA-FWS-2020-00724-0000719.pdf","FOIA-FWS-2020-00724-0000719")</f>
        <v>FOIA-FWS-2020-00724-0000719</v>
      </c>
      <c r="B720" s="3" t="s">
        <v>1362</v>
      </c>
      <c r="C720" s="3" t="s">
        <v>234</v>
      </c>
      <c r="D720" s="3" t="s">
        <v>33</v>
      </c>
      <c r="E720" s="3" t="s">
        <v>1364</v>
      </c>
      <c r="F720" s="4">
        <v>43433.480555555558</v>
      </c>
      <c r="G720" s="3"/>
      <c r="H720" s="3"/>
      <c r="I720" s="3" t="s">
        <v>7043</v>
      </c>
      <c r="J720" s="3"/>
      <c r="K720" s="3"/>
      <c r="L720" s="5"/>
    </row>
    <row r="721" spans="1:12" ht="28.8" x14ac:dyDescent="0.55000000000000004">
      <c r="A721" s="9" t="str">
        <f>HYPERLINK("PDF\FOIA-FWS-2020-00724-0000720.pdf","FOIA-FWS-2020-00724-0000720")</f>
        <v>FOIA-FWS-2020-00724-0000720</v>
      </c>
      <c r="B721" s="3" t="s">
        <v>1365</v>
      </c>
      <c r="C721" s="3" t="s">
        <v>3</v>
      </c>
      <c r="D721" s="3" t="s">
        <v>33</v>
      </c>
      <c r="E721" s="3" t="s">
        <v>1367</v>
      </c>
      <c r="F721" s="4">
        <v>43433.619444444441</v>
      </c>
      <c r="G721" s="3" t="s">
        <v>1119</v>
      </c>
      <c r="H721" s="3" t="s">
        <v>1366</v>
      </c>
      <c r="I721" s="3" t="s">
        <v>7043</v>
      </c>
      <c r="J721" s="3"/>
      <c r="K721" s="3"/>
      <c r="L721" s="5"/>
    </row>
    <row r="722" spans="1:12" ht="28.8" x14ac:dyDescent="0.55000000000000004">
      <c r="A722" s="9" t="str">
        <f>HYPERLINK("PDF\FOIA-FWS-2020-00724-0000721.pdf","FOIA-FWS-2020-00724-0000721")</f>
        <v>FOIA-FWS-2020-00724-0000721</v>
      </c>
      <c r="B722" s="3" t="s">
        <v>1368</v>
      </c>
      <c r="C722" s="3" t="s">
        <v>3</v>
      </c>
      <c r="D722" s="3" t="s">
        <v>33</v>
      </c>
      <c r="E722" s="3" t="s">
        <v>1369</v>
      </c>
      <c r="F722" s="4">
        <v>43433.717361111114</v>
      </c>
      <c r="G722" s="3" t="s">
        <v>1069</v>
      </c>
      <c r="H722" s="3" t="s">
        <v>1070</v>
      </c>
      <c r="I722" s="3" t="s">
        <v>7043</v>
      </c>
      <c r="J722" s="3"/>
      <c r="K722" s="3"/>
      <c r="L722" s="5"/>
    </row>
    <row r="723" spans="1:12" ht="28.8" x14ac:dyDescent="0.55000000000000004">
      <c r="A723" s="9" t="str">
        <f>HYPERLINK("PDF\FOIA-FWS-2020-00724-0000722.pdf","FOIA-FWS-2020-00724-0000722")</f>
        <v>FOIA-FWS-2020-00724-0000722</v>
      </c>
      <c r="B723" s="3" t="s">
        <v>1368</v>
      </c>
      <c r="C723" s="3" t="s">
        <v>234</v>
      </c>
      <c r="D723" s="3" t="s">
        <v>33</v>
      </c>
      <c r="E723" s="3" t="s">
        <v>1370</v>
      </c>
      <c r="F723" s="4">
        <v>43433.717361111114</v>
      </c>
      <c r="G723" s="3"/>
      <c r="H723" s="3"/>
      <c r="I723" s="3" t="s">
        <v>7043</v>
      </c>
      <c r="J723" s="3"/>
      <c r="K723" s="3"/>
      <c r="L723" s="5" t="str">
        <f>HYPERLINK("NATIVE_FILES\FOIA-FWS-2020-00724-0000722.xlsx","FOIA-FWS-2020-00724-0000722.xlsx")</f>
        <v>FOIA-FWS-2020-00724-0000722.xlsx</v>
      </c>
    </row>
    <row r="724" spans="1:12" ht="28.8" x14ac:dyDescent="0.55000000000000004">
      <c r="A724" s="9" t="str">
        <f>HYPERLINK("PDF\FOIA-FWS-2020-00724-0000723.pdf","FOIA-FWS-2020-00724-0000723")</f>
        <v>FOIA-FWS-2020-00724-0000723</v>
      </c>
      <c r="B724" s="3" t="s">
        <v>1368</v>
      </c>
      <c r="C724" s="3" t="s">
        <v>234</v>
      </c>
      <c r="D724" s="3" t="s">
        <v>33</v>
      </c>
      <c r="E724" s="3" t="s">
        <v>1357</v>
      </c>
      <c r="F724" s="4">
        <v>43433.717361111114</v>
      </c>
      <c r="G724" s="3"/>
      <c r="H724" s="3"/>
      <c r="I724" s="3" t="s">
        <v>7043</v>
      </c>
      <c r="J724" s="3"/>
      <c r="K724" s="3"/>
      <c r="L724" s="5"/>
    </row>
    <row r="725" spans="1:12" ht="28.8" x14ac:dyDescent="0.55000000000000004">
      <c r="A725" s="9" t="str">
        <f>HYPERLINK("PDF\FOIA-FWS-2020-00724-0000724.pdf","FOIA-FWS-2020-00724-0000724")</f>
        <v>FOIA-FWS-2020-00724-0000724</v>
      </c>
      <c r="B725" s="3" t="s">
        <v>1368</v>
      </c>
      <c r="C725" s="3" t="s">
        <v>234</v>
      </c>
      <c r="D725" s="3" t="s">
        <v>33</v>
      </c>
      <c r="E725" s="3" t="s">
        <v>1361</v>
      </c>
      <c r="F725" s="4">
        <v>43433.717361111114</v>
      </c>
      <c r="G725" s="3"/>
      <c r="H725" s="3"/>
      <c r="I725" s="3" t="s">
        <v>7043</v>
      </c>
      <c r="J725" s="3"/>
      <c r="K725" s="3"/>
      <c r="L725" s="5"/>
    </row>
    <row r="726" spans="1:12" ht="28.8" x14ac:dyDescent="0.55000000000000004">
      <c r="A726" s="9" t="str">
        <f>HYPERLINK("PDF\FOIA-FWS-2020-00724-0000725.pdf","FOIA-FWS-2020-00724-0000725")</f>
        <v>FOIA-FWS-2020-00724-0000725</v>
      </c>
      <c r="B726" s="3" t="s">
        <v>1368</v>
      </c>
      <c r="C726" s="3" t="s">
        <v>234</v>
      </c>
      <c r="D726" s="3" t="s">
        <v>33</v>
      </c>
      <c r="E726" s="3" t="s">
        <v>1358</v>
      </c>
      <c r="F726" s="4">
        <v>43433.717361111114</v>
      </c>
      <c r="G726" s="3"/>
      <c r="H726" s="3"/>
      <c r="I726" s="3" t="s">
        <v>7043</v>
      </c>
      <c r="J726" s="3"/>
      <c r="K726" s="3"/>
      <c r="L726" s="5" t="str">
        <f>HYPERLINK("NATIVE_FILES\FOIA-FWS-2020-00724-0000725.xlsx","FOIA-FWS-2020-00724-0000725.xlsx")</f>
        <v>FOIA-FWS-2020-00724-0000725.xlsx</v>
      </c>
    </row>
    <row r="727" spans="1:12" ht="28.8" x14ac:dyDescent="0.55000000000000004">
      <c r="A727" s="9" t="str">
        <f>HYPERLINK("PDF\FOIA-FWS-2020-00724-0000726.pdf","FOIA-FWS-2020-00724-0000726")</f>
        <v>FOIA-FWS-2020-00724-0000726</v>
      </c>
      <c r="B727" s="3" t="s">
        <v>1371</v>
      </c>
      <c r="C727" s="3" t="s">
        <v>3</v>
      </c>
      <c r="D727" s="3" t="s">
        <v>33</v>
      </c>
      <c r="E727" s="3" t="s">
        <v>1373</v>
      </c>
      <c r="F727" s="4">
        <v>43433.744444444441</v>
      </c>
      <c r="G727" s="3" t="s">
        <v>963</v>
      </c>
      <c r="H727" s="3" t="s">
        <v>1372</v>
      </c>
      <c r="I727" s="3" t="s">
        <v>7043</v>
      </c>
      <c r="J727" s="3"/>
      <c r="K727" s="3"/>
      <c r="L727" s="5"/>
    </row>
    <row r="728" spans="1:12" ht="28.8" x14ac:dyDescent="0.55000000000000004">
      <c r="A728" s="9" t="str">
        <f>HYPERLINK("PDF\FOIA-FWS-2020-00724-0000727.pdf","FOIA-FWS-2020-00724-0000727")</f>
        <v>FOIA-FWS-2020-00724-0000727</v>
      </c>
      <c r="B728" s="3" t="s">
        <v>1371</v>
      </c>
      <c r="C728" s="3" t="s">
        <v>234</v>
      </c>
      <c r="D728" s="3" t="s">
        <v>33</v>
      </c>
      <c r="E728" s="3" t="s">
        <v>1374</v>
      </c>
      <c r="F728" s="4">
        <v>43433.744444444441</v>
      </c>
      <c r="G728" s="3"/>
      <c r="H728" s="3"/>
      <c r="I728" s="3" t="s">
        <v>7043</v>
      </c>
      <c r="J728" s="3"/>
      <c r="K728" s="3"/>
      <c r="L728" s="5"/>
    </row>
    <row r="729" spans="1:12" ht="28.8" x14ac:dyDescent="0.55000000000000004">
      <c r="A729" s="9" t="str">
        <f>HYPERLINK("PDF\FOIA-FWS-2020-00724-0000728.pdf","FOIA-FWS-2020-00724-0000728")</f>
        <v>FOIA-FWS-2020-00724-0000728</v>
      </c>
      <c r="B729" s="3" t="s">
        <v>1375</v>
      </c>
      <c r="C729" s="3" t="s">
        <v>3</v>
      </c>
      <c r="D729" s="3" t="s">
        <v>4</v>
      </c>
      <c r="E729" s="3" t="s">
        <v>1376</v>
      </c>
      <c r="F729" s="4">
        <v>43434</v>
      </c>
      <c r="G729" s="3"/>
      <c r="H729" s="3"/>
      <c r="I729" s="3" t="s">
        <v>7043</v>
      </c>
      <c r="J729" s="3"/>
      <c r="K729" s="3"/>
      <c r="L729" s="5"/>
    </row>
    <row r="730" spans="1:12" ht="28.8" x14ac:dyDescent="0.55000000000000004">
      <c r="A730" s="9" t="str">
        <f>HYPERLINK("PDF\FOIA-FWS-2020-00724-0000729.pdf","FOIA-FWS-2020-00724-0000729")</f>
        <v>FOIA-FWS-2020-00724-0000729</v>
      </c>
      <c r="B730" s="3" t="s">
        <v>1377</v>
      </c>
      <c r="C730" s="3" t="s">
        <v>3</v>
      </c>
      <c r="D730" s="3" t="s">
        <v>160</v>
      </c>
      <c r="E730" s="3" t="s">
        <v>1378</v>
      </c>
      <c r="F730" s="4">
        <v>43434</v>
      </c>
      <c r="G730" s="3"/>
      <c r="H730" s="3"/>
      <c r="I730" s="3" t="s">
        <v>7043</v>
      </c>
      <c r="J730" s="3"/>
      <c r="K730" s="3"/>
      <c r="L730" s="5"/>
    </row>
    <row r="731" spans="1:12" ht="28.8" x14ac:dyDescent="0.55000000000000004">
      <c r="A731" s="9" t="str">
        <f>HYPERLINK("PDF\FOIA-FWS-2020-00724-0000730.pdf","FOIA-FWS-2020-00724-0000730")</f>
        <v>FOIA-FWS-2020-00724-0000730</v>
      </c>
      <c r="B731" s="3" t="s">
        <v>1379</v>
      </c>
      <c r="C731" s="3" t="s">
        <v>3</v>
      </c>
      <c r="D731" s="3" t="s">
        <v>33</v>
      </c>
      <c r="E731" s="3" t="s">
        <v>1380</v>
      </c>
      <c r="F731" s="4">
        <v>43434.51666666667</v>
      </c>
      <c r="G731" s="3" t="s">
        <v>955</v>
      </c>
      <c r="H731" s="3" t="s">
        <v>1119</v>
      </c>
      <c r="I731" s="3" t="s">
        <v>7043</v>
      </c>
      <c r="J731" s="3"/>
      <c r="K731" s="3"/>
      <c r="L731" s="5"/>
    </row>
    <row r="732" spans="1:12" ht="28.8" x14ac:dyDescent="0.55000000000000004">
      <c r="A732" s="9" t="str">
        <f>HYPERLINK("PDF\FOIA-FWS-2020-00724-0000731.pdf","FOIA-FWS-2020-00724-0000731")</f>
        <v>FOIA-FWS-2020-00724-0000731</v>
      </c>
      <c r="B732" s="3" t="s">
        <v>1379</v>
      </c>
      <c r="C732" s="3" t="s">
        <v>234</v>
      </c>
      <c r="D732" s="3" t="s">
        <v>33</v>
      </c>
      <c r="E732" s="3" t="s">
        <v>1247</v>
      </c>
      <c r="F732" s="4">
        <v>43434.51666666667</v>
      </c>
      <c r="G732" s="3"/>
      <c r="H732" s="3"/>
      <c r="I732" s="3" t="s">
        <v>7043</v>
      </c>
      <c r="J732" s="3"/>
      <c r="K732" s="3"/>
      <c r="L732" s="5"/>
    </row>
    <row r="733" spans="1:12" ht="28.8" x14ac:dyDescent="0.55000000000000004">
      <c r="A733" s="9" t="str">
        <f>HYPERLINK("PDF\FOIA-FWS-2020-00724-0000732.pdf","FOIA-FWS-2020-00724-0000732")</f>
        <v>FOIA-FWS-2020-00724-0000732</v>
      </c>
      <c r="B733" s="3" t="s">
        <v>1381</v>
      </c>
      <c r="C733" s="3" t="s">
        <v>3</v>
      </c>
      <c r="D733" s="3" t="s">
        <v>33</v>
      </c>
      <c r="E733" s="3" t="s">
        <v>1383</v>
      </c>
      <c r="F733" s="4">
        <v>43434.526388888888</v>
      </c>
      <c r="G733" s="3" t="s">
        <v>1382</v>
      </c>
      <c r="H733" s="3" t="s">
        <v>1152</v>
      </c>
      <c r="I733" s="3" t="s">
        <v>7043</v>
      </c>
      <c r="J733" s="3"/>
      <c r="K733" s="3"/>
      <c r="L733" s="5"/>
    </row>
    <row r="734" spans="1:12" ht="28.8" x14ac:dyDescent="0.55000000000000004">
      <c r="A734" s="9" t="str">
        <f>HYPERLINK("PDF\FOIA-FWS-2020-00724-0000733.pdf","FOIA-FWS-2020-00724-0000733")</f>
        <v>FOIA-FWS-2020-00724-0000733</v>
      </c>
      <c r="B734" s="3" t="s">
        <v>1384</v>
      </c>
      <c r="C734" s="3" t="s">
        <v>3</v>
      </c>
      <c r="D734" s="3" t="s">
        <v>33</v>
      </c>
      <c r="E734" s="3" t="s">
        <v>1386</v>
      </c>
      <c r="F734" s="4">
        <v>43434.537499999999</v>
      </c>
      <c r="G734" s="3" t="s">
        <v>1073</v>
      </c>
      <c r="H734" s="3" t="s">
        <v>1385</v>
      </c>
      <c r="I734" s="3" t="s">
        <v>7043</v>
      </c>
      <c r="J734" s="3"/>
      <c r="K734" s="3"/>
      <c r="L734" s="5"/>
    </row>
    <row r="735" spans="1:12" ht="28.8" x14ac:dyDescent="0.55000000000000004">
      <c r="A735" s="9" t="str">
        <f>HYPERLINK("PDF\FOIA-FWS-2020-00724-0000734.pdf","FOIA-FWS-2020-00724-0000734")</f>
        <v>FOIA-FWS-2020-00724-0000734</v>
      </c>
      <c r="B735" s="3" t="s">
        <v>1384</v>
      </c>
      <c r="C735" s="3" t="s">
        <v>234</v>
      </c>
      <c r="D735" s="3" t="s">
        <v>160</v>
      </c>
      <c r="E735" s="3" t="s">
        <v>1387</v>
      </c>
      <c r="F735" s="4">
        <v>43434.537499999999</v>
      </c>
      <c r="G735" s="3"/>
      <c r="H735" s="3"/>
      <c r="I735" s="3" t="s">
        <v>7043</v>
      </c>
      <c r="J735" s="3"/>
      <c r="K735" s="3"/>
      <c r="L735" s="5"/>
    </row>
    <row r="736" spans="1:12" ht="43.2" x14ac:dyDescent="0.55000000000000004">
      <c r="A736" s="9" t="str">
        <f>HYPERLINK("PDF\FOIA-FWS-2020-00724-0000735.pdf","FOIA-FWS-2020-00724-0000735")</f>
        <v>FOIA-FWS-2020-00724-0000735</v>
      </c>
      <c r="B736" s="3" t="s">
        <v>1388</v>
      </c>
      <c r="C736" s="3" t="s">
        <v>3</v>
      </c>
      <c r="D736" s="3" t="s">
        <v>33</v>
      </c>
      <c r="E736" s="3" t="s">
        <v>1390</v>
      </c>
      <c r="F736" s="4">
        <v>43434.541666666664</v>
      </c>
      <c r="G736" s="3" t="s">
        <v>1073</v>
      </c>
      <c r="H736" s="3" t="s">
        <v>1389</v>
      </c>
      <c r="I736" s="3" t="s">
        <v>7043</v>
      </c>
      <c r="J736" s="3"/>
      <c r="K736" s="3"/>
      <c r="L736" s="5"/>
    </row>
    <row r="737" spans="1:12" ht="28.8" x14ac:dyDescent="0.55000000000000004">
      <c r="A737" s="9" t="str">
        <f>HYPERLINK("PDF\FOIA-FWS-2020-00724-0000736.pdf","FOIA-FWS-2020-00724-0000736")</f>
        <v>FOIA-FWS-2020-00724-0000736</v>
      </c>
      <c r="B737" s="3" t="s">
        <v>1391</v>
      </c>
      <c r="C737" s="3" t="s">
        <v>3</v>
      </c>
      <c r="D737" s="3" t="s">
        <v>33</v>
      </c>
      <c r="E737" s="3" t="s">
        <v>1393</v>
      </c>
      <c r="F737" s="4">
        <v>43434.583333333336</v>
      </c>
      <c r="G737" s="3" t="s">
        <v>1392</v>
      </c>
      <c r="H737" s="3" t="s">
        <v>945</v>
      </c>
      <c r="I737" s="3" t="s">
        <v>7043</v>
      </c>
      <c r="J737" s="3"/>
      <c r="K737" s="3"/>
      <c r="L737" s="5"/>
    </row>
    <row r="738" spans="1:12" ht="28.8" x14ac:dyDescent="0.55000000000000004">
      <c r="A738" s="9" t="str">
        <f>HYPERLINK("PDF\FOIA-FWS-2020-00724-0000737.pdf","FOIA-FWS-2020-00724-0000737")</f>
        <v>FOIA-FWS-2020-00724-0000737</v>
      </c>
      <c r="B738" s="3" t="s">
        <v>1391</v>
      </c>
      <c r="C738" s="3" t="s">
        <v>234</v>
      </c>
      <c r="D738" s="3" t="s">
        <v>33</v>
      </c>
      <c r="E738" s="3" t="s">
        <v>1394</v>
      </c>
      <c r="F738" s="4">
        <v>43434.583333333336</v>
      </c>
      <c r="G738" s="3"/>
      <c r="H738" s="3"/>
      <c r="I738" s="3" t="s">
        <v>7043</v>
      </c>
      <c r="J738" s="3"/>
      <c r="K738" s="3"/>
      <c r="L738" s="5"/>
    </row>
    <row r="739" spans="1:12" ht="28.8" x14ac:dyDescent="0.55000000000000004">
      <c r="A739" s="9" t="str">
        <f>HYPERLINK("PDF\FOIA-FWS-2020-00724-0000738.pdf","FOIA-FWS-2020-00724-0000738")</f>
        <v>FOIA-FWS-2020-00724-0000738</v>
      </c>
      <c r="B739" s="3" t="s">
        <v>1395</v>
      </c>
      <c r="C739" s="3" t="s">
        <v>3</v>
      </c>
      <c r="D739" s="3" t="s">
        <v>33</v>
      </c>
      <c r="E739" s="3" t="s">
        <v>1397</v>
      </c>
      <c r="F739" s="4">
        <v>43434.587500000001</v>
      </c>
      <c r="G739" s="3" t="s">
        <v>1396</v>
      </c>
      <c r="H739" s="3" t="s">
        <v>1152</v>
      </c>
      <c r="I739" s="3" t="s">
        <v>7043</v>
      </c>
      <c r="J739" s="3"/>
      <c r="K739" s="3"/>
      <c r="L739" s="5"/>
    </row>
    <row r="740" spans="1:12" ht="28.8" x14ac:dyDescent="0.55000000000000004">
      <c r="A740" s="9" t="str">
        <f>HYPERLINK("PDF\FOIA-FWS-2020-00724-0000739.pdf","FOIA-FWS-2020-00724-0000739")</f>
        <v>FOIA-FWS-2020-00724-0000739</v>
      </c>
      <c r="B740" s="3" t="s">
        <v>1398</v>
      </c>
      <c r="C740" s="3" t="s">
        <v>3</v>
      </c>
      <c r="D740" s="3" t="s">
        <v>33</v>
      </c>
      <c r="E740" s="3" t="s">
        <v>1399</v>
      </c>
      <c r="F740" s="4">
        <v>43434.64166666667</v>
      </c>
      <c r="G740" s="3" t="s">
        <v>1396</v>
      </c>
      <c r="H740" s="3" t="s">
        <v>1152</v>
      </c>
      <c r="I740" s="3" t="s">
        <v>7043</v>
      </c>
      <c r="J740" s="3"/>
      <c r="K740" s="3"/>
      <c r="L740" s="5"/>
    </row>
    <row r="741" spans="1:12" ht="28.8" x14ac:dyDescent="0.55000000000000004">
      <c r="A741" s="9" t="str">
        <f>HYPERLINK("PDF\FOIA-FWS-2020-00724-0000740.pdf","FOIA-FWS-2020-00724-0000740")</f>
        <v>FOIA-FWS-2020-00724-0000740</v>
      </c>
      <c r="B741" s="3" t="s">
        <v>1398</v>
      </c>
      <c r="C741" s="3" t="s">
        <v>234</v>
      </c>
      <c r="D741" s="3" t="s">
        <v>4</v>
      </c>
      <c r="E741" s="3" t="s">
        <v>1400</v>
      </c>
      <c r="F741" s="4">
        <v>43434.64166666667</v>
      </c>
      <c r="G741" s="3"/>
      <c r="H741" s="3"/>
      <c r="I741" s="3" t="s">
        <v>7043</v>
      </c>
      <c r="J741" s="3"/>
      <c r="K741" s="3"/>
      <c r="L741" s="5"/>
    </row>
    <row r="742" spans="1:12" ht="28.8" x14ac:dyDescent="0.55000000000000004">
      <c r="A742" s="9" t="str">
        <f>HYPERLINK("PDF\FOIA-FWS-2020-00724-0000741.pdf","FOIA-FWS-2020-00724-0000741")</f>
        <v>FOIA-FWS-2020-00724-0000741</v>
      </c>
      <c r="B742" s="3" t="s">
        <v>1401</v>
      </c>
      <c r="C742" s="3" t="s">
        <v>3</v>
      </c>
      <c r="D742" s="3" t="s">
        <v>33</v>
      </c>
      <c r="E742" s="3" t="s">
        <v>1402</v>
      </c>
      <c r="F742" s="4">
        <v>43434.7</v>
      </c>
      <c r="G742" s="3" t="s">
        <v>1073</v>
      </c>
      <c r="H742" s="3" t="s">
        <v>1385</v>
      </c>
      <c r="I742" s="3" t="s">
        <v>7043</v>
      </c>
      <c r="J742" s="3"/>
      <c r="K742" s="3"/>
      <c r="L742" s="5"/>
    </row>
    <row r="743" spans="1:12" ht="28.8" x14ac:dyDescent="0.55000000000000004">
      <c r="A743" s="9" t="str">
        <f>HYPERLINK("PDF\FOIA-FWS-2020-00724-0000742.pdf","FOIA-FWS-2020-00724-0000742")</f>
        <v>FOIA-FWS-2020-00724-0000742</v>
      </c>
      <c r="B743" s="3" t="s">
        <v>1403</v>
      </c>
      <c r="C743" s="3" t="s">
        <v>3</v>
      </c>
      <c r="D743" s="3" t="s">
        <v>33</v>
      </c>
      <c r="E743" s="3" t="s">
        <v>1380</v>
      </c>
      <c r="F743" s="4">
        <v>43434.782638888886</v>
      </c>
      <c r="G743" s="3" t="s">
        <v>955</v>
      </c>
      <c r="H743" s="3" t="s">
        <v>945</v>
      </c>
      <c r="I743" s="3" t="s">
        <v>7043</v>
      </c>
      <c r="J743" s="3"/>
      <c r="K743" s="3"/>
      <c r="L743" s="5"/>
    </row>
    <row r="744" spans="1:12" ht="28.8" x14ac:dyDescent="0.55000000000000004">
      <c r="A744" s="9" t="str">
        <f>HYPERLINK("PDF\FOIA-FWS-2020-00724-0000743.pdf","FOIA-FWS-2020-00724-0000743")</f>
        <v>FOIA-FWS-2020-00724-0000743</v>
      </c>
      <c r="B744" s="3" t="s">
        <v>1403</v>
      </c>
      <c r="C744" s="3" t="s">
        <v>234</v>
      </c>
      <c r="D744" s="3" t="s">
        <v>33</v>
      </c>
      <c r="E744" s="3" t="s">
        <v>1247</v>
      </c>
      <c r="F744" s="4">
        <v>43434.782638888886</v>
      </c>
      <c r="G744" s="3"/>
      <c r="H744" s="3"/>
      <c r="I744" s="3" t="s">
        <v>7043</v>
      </c>
      <c r="J744" s="3"/>
      <c r="K744" s="3"/>
      <c r="L744" s="5"/>
    </row>
    <row r="745" spans="1:12" ht="28.8" x14ac:dyDescent="0.55000000000000004">
      <c r="A745" s="9" t="str">
        <f>HYPERLINK("PDF\FOIA-FWS-2020-00724-0000744.pdf","FOIA-FWS-2020-00724-0000744")</f>
        <v>FOIA-FWS-2020-00724-0000744</v>
      </c>
      <c r="B745" s="3" t="s">
        <v>1404</v>
      </c>
      <c r="C745" s="3" t="s">
        <v>3</v>
      </c>
      <c r="D745" s="3" t="s">
        <v>33</v>
      </c>
      <c r="E745" s="3" t="s">
        <v>1405</v>
      </c>
      <c r="F745" s="4">
        <v>43434.847222222219</v>
      </c>
      <c r="G745" s="3" t="s">
        <v>1069</v>
      </c>
      <c r="H745" s="3" t="s">
        <v>1070</v>
      </c>
      <c r="I745" s="3" t="s">
        <v>7043</v>
      </c>
      <c r="J745" s="3"/>
      <c r="K745" s="3"/>
      <c r="L745" s="5"/>
    </row>
    <row r="746" spans="1:12" ht="28.8" x14ac:dyDescent="0.55000000000000004">
      <c r="A746" s="9" t="str">
        <f>HYPERLINK("PDF\FOIA-FWS-2020-00724-0000745.pdf","FOIA-FWS-2020-00724-0000745")</f>
        <v>FOIA-FWS-2020-00724-0000745</v>
      </c>
      <c r="B746" s="3" t="s">
        <v>1404</v>
      </c>
      <c r="C746" s="3" t="s">
        <v>234</v>
      </c>
      <c r="D746" s="3" t="s">
        <v>160</v>
      </c>
      <c r="E746" s="3" t="s">
        <v>1406</v>
      </c>
      <c r="F746" s="4">
        <v>43434.847222222219</v>
      </c>
      <c r="G746" s="3"/>
      <c r="H746" s="3"/>
      <c r="I746" s="3" t="s">
        <v>7043</v>
      </c>
      <c r="J746" s="3"/>
      <c r="K746" s="3"/>
      <c r="L746" s="5" t="str">
        <f>HYPERLINK("NATIVE_FILES\FOIA-FWS-2020-00724-0000745.xlsx","FOIA-FWS-2020-00724-0000745.xlsx")</f>
        <v>FOIA-FWS-2020-00724-0000745.xlsx</v>
      </c>
    </row>
    <row r="747" spans="1:12" ht="28.8" x14ac:dyDescent="0.55000000000000004">
      <c r="A747" s="9" t="str">
        <f>HYPERLINK("PDF\FOIA-FWS-2020-00724-0000746.pdf","FOIA-FWS-2020-00724-0000746")</f>
        <v>FOIA-FWS-2020-00724-0000746</v>
      </c>
      <c r="B747" s="3" t="s">
        <v>1407</v>
      </c>
      <c r="C747" s="3" t="s">
        <v>3</v>
      </c>
      <c r="D747" s="3" t="s">
        <v>4</v>
      </c>
      <c r="E747" s="3" t="s">
        <v>1408</v>
      </c>
      <c r="F747" s="4">
        <v>43435</v>
      </c>
      <c r="G747" s="3"/>
      <c r="H747" s="3"/>
      <c r="I747" s="3" t="s">
        <v>7043</v>
      </c>
      <c r="J747" s="3"/>
      <c r="K747" s="3"/>
      <c r="L747" s="5"/>
    </row>
    <row r="748" spans="1:12" ht="28.8" x14ac:dyDescent="0.55000000000000004">
      <c r="A748" s="9" t="str">
        <f>HYPERLINK("PDF\FOIA-FWS-2020-00724-0000747.pdf","FOIA-FWS-2020-00724-0000747")</f>
        <v>FOIA-FWS-2020-00724-0000747</v>
      </c>
      <c r="B748" s="3" t="s">
        <v>1409</v>
      </c>
      <c r="C748" s="3" t="s">
        <v>3</v>
      </c>
      <c r="D748" s="3" t="s">
        <v>33</v>
      </c>
      <c r="E748" s="3" t="s">
        <v>1410</v>
      </c>
      <c r="F748" s="4">
        <v>43437</v>
      </c>
      <c r="G748" s="3"/>
      <c r="H748" s="3"/>
      <c r="I748" s="3" t="s">
        <v>7043</v>
      </c>
      <c r="J748" s="3"/>
      <c r="K748" s="3"/>
      <c r="L748" s="5"/>
    </row>
    <row r="749" spans="1:12" ht="28.8" x14ac:dyDescent="0.55000000000000004">
      <c r="A749" s="9" t="str">
        <f>HYPERLINK("PDF\FOIA-FWS-2020-00724-0000748.pdf","FOIA-FWS-2020-00724-0000748")</f>
        <v>FOIA-FWS-2020-00724-0000748</v>
      </c>
      <c r="B749" s="3" t="s">
        <v>1411</v>
      </c>
      <c r="C749" s="3" t="s">
        <v>3</v>
      </c>
      <c r="D749" s="3" t="s">
        <v>4</v>
      </c>
      <c r="E749" s="3" t="s">
        <v>1412</v>
      </c>
      <c r="F749" s="4">
        <v>43437</v>
      </c>
      <c r="G749" s="3"/>
      <c r="H749" s="3"/>
      <c r="I749" s="3" t="s">
        <v>7043</v>
      </c>
      <c r="J749" s="3"/>
      <c r="K749" s="3"/>
      <c r="L749" s="5"/>
    </row>
    <row r="750" spans="1:12" ht="43.2" x14ac:dyDescent="0.55000000000000004">
      <c r="A750" s="9" t="str">
        <f>HYPERLINK("PDF\FOIA-FWS-2020-00724-0000749.pdf","FOIA-FWS-2020-00724-0000749")</f>
        <v>FOIA-FWS-2020-00724-0000749</v>
      </c>
      <c r="B750" s="3" t="s">
        <v>1413</v>
      </c>
      <c r="C750" s="3" t="s">
        <v>3</v>
      </c>
      <c r="D750" s="3" t="s">
        <v>33</v>
      </c>
      <c r="E750" s="3" t="s">
        <v>1414</v>
      </c>
      <c r="F750" s="4">
        <v>43437</v>
      </c>
      <c r="G750" s="3"/>
      <c r="H750" s="3"/>
      <c r="I750" s="3" t="s">
        <v>7043</v>
      </c>
      <c r="J750" s="3"/>
      <c r="K750" s="3"/>
      <c r="L750" s="5"/>
    </row>
    <row r="751" spans="1:12" ht="43.2" x14ac:dyDescent="0.55000000000000004">
      <c r="A751" s="9" t="str">
        <f>HYPERLINK("PDF\FOIA-FWS-2020-00724-0000750.pdf","FOIA-FWS-2020-00724-0000750")</f>
        <v>FOIA-FWS-2020-00724-0000750</v>
      </c>
      <c r="B751" s="3" t="s">
        <v>1415</v>
      </c>
      <c r="C751" s="3" t="s">
        <v>3</v>
      </c>
      <c r="D751" s="3" t="s">
        <v>33</v>
      </c>
      <c r="E751" s="3" t="s">
        <v>1416</v>
      </c>
      <c r="F751" s="4">
        <v>43437</v>
      </c>
      <c r="G751" s="3"/>
      <c r="H751" s="3"/>
      <c r="I751" s="3" t="s">
        <v>7043</v>
      </c>
      <c r="J751" s="3"/>
      <c r="K751" s="3"/>
      <c r="L751" s="5"/>
    </row>
    <row r="752" spans="1:12" ht="28.8" x14ac:dyDescent="0.55000000000000004">
      <c r="A752" s="9" t="str">
        <f>HYPERLINK("PDF\FOIA-FWS-2020-00724-0000751.pdf","FOIA-FWS-2020-00724-0000751")</f>
        <v>FOIA-FWS-2020-00724-0000751</v>
      </c>
      <c r="B752" s="3" t="s">
        <v>1417</v>
      </c>
      <c r="C752" s="3" t="s">
        <v>3</v>
      </c>
      <c r="D752" s="3" t="s">
        <v>33</v>
      </c>
      <c r="E752" s="3" t="s">
        <v>1418</v>
      </c>
      <c r="F752" s="4">
        <v>43437.387499999997</v>
      </c>
      <c r="G752" s="3" t="s">
        <v>1073</v>
      </c>
      <c r="H752" s="3" t="s">
        <v>1069</v>
      </c>
      <c r="I752" s="3" t="s">
        <v>7043</v>
      </c>
      <c r="J752" s="3"/>
      <c r="K752" s="3"/>
      <c r="L752" s="5"/>
    </row>
    <row r="753" spans="1:12" ht="28.8" x14ac:dyDescent="0.55000000000000004">
      <c r="A753" s="9" t="str">
        <f>HYPERLINK("PDF\FOIA-FWS-2020-00724-0000752.pdf","FOIA-FWS-2020-00724-0000752")</f>
        <v>FOIA-FWS-2020-00724-0000752</v>
      </c>
      <c r="B753" s="3" t="s">
        <v>1419</v>
      </c>
      <c r="C753" s="3" t="s">
        <v>3</v>
      </c>
      <c r="D753" s="3" t="s">
        <v>33</v>
      </c>
      <c r="E753" s="3" t="s">
        <v>1420</v>
      </c>
      <c r="F753" s="4">
        <v>43437.491666666669</v>
      </c>
      <c r="G753" s="3" t="s">
        <v>985</v>
      </c>
      <c r="H753" s="3" t="s">
        <v>963</v>
      </c>
      <c r="I753" s="3" t="s">
        <v>7043</v>
      </c>
      <c r="J753" s="3"/>
      <c r="K753" s="3"/>
      <c r="L753" s="5"/>
    </row>
    <row r="754" spans="1:12" ht="28.8" x14ac:dyDescent="0.55000000000000004">
      <c r="A754" s="9" t="str">
        <f>HYPERLINK("PDF\FOIA-FWS-2020-00724-0000753.pdf","FOIA-FWS-2020-00724-0000753")</f>
        <v>FOIA-FWS-2020-00724-0000753</v>
      </c>
      <c r="B754" s="3" t="s">
        <v>1419</v>
      </c>
      <c r="C754" s="3" t="s">
        <v>234</v>
      </c>
      <c r="D754" s="3" t="s">
        <v>33</v>
      </c>
      <c r="E754" s="3" t="s">
        <v>1421</v>
      </c>
      <c r="F754" s="4">
        <v>43437.491666666669</v>
      </c>
      <c r="G754" s="3"/>
      <c r="H754" s="3"/>
      <c r="I754" s="3" t="s">
        <v>7043</v>
      </c>
      <c r="J754" s="3"/>
      <c r="K754" s="3"/>
      <c r="L754" s="5"/>
    </row>
    <row r="755" spans="1:12" ht="28.8" x14ac:dyDescent="0.55000000000000004">
      <c r="A755" s="9" t="str">
        <f>HYPERLINK("PDF\FOIA-FWS-2020-00724-0000754.pdf","FOIA-FWS-2020-00724-0000754")</f>
        <v>FOIA-FWS-2020-00724-0000754</v>
      </c>
      <c r="B755" s="3" t="s">
        <v>1422</v>
      </c>
      <c r="C755" s="3" t="s">
        <v>3</v>
      </c>
      <c r="D755" s="3" t="s">
        <v>33</v>
      </c>
      <c r="E755" s="3" t="s">
        <v>1423</v>
      </c>
      <c r="F755" s="4">
        <v>43437.537499999999</v>
      </c>
      <c r="G755" s="3" t="s">
        <v>1396</v>
      </c>
      <c r="H755" s="3" t="s">
        <v>1070</v>
      </c>
      <c r="I755" s="3" t="s">
        <v>7043</v>
      </c>
      <c r="J755" s="3"/>
      <c r="K755" s="3"/>
      <c r="L755" s="5"/>
    </row>
    <row r="756" spans="1:12" ht="28.8" x14ac:dyDescent="0.55000000000000004">
      <c r="A756" s="9" t="str">
        <f>HYPERLINK("PDF\FOIA-FWS-2020-00724-0000755.pdf","FOIA-FWS-2020-00724-0000755")</f>
        <v>FOIA-FWS-2020-00724-0000755</v>
      </c>
      <c r="B756" s="3" t="s">
        <v>1424</v>
      </c>
      <c r="C756" s="3" t="s">
        <v>3</v>
      </c>
      <c r="D756" s="3" t="s">
        <v>33</v>
      </c>
      <c r="E756" s="3" t="s">
        <v>1425</v>
      </c>
      <c r="F756" s="4">
        <v>43437.540972222225</v>
      </c>
      <c r="G756" s="3" t="s">
        <v>1382</v>
      </c>
      <c r="H756" s="3" t="s">
        <v>1070</v>
      </c>
      <c r="I756" s="3" t="s">
        <v>7043</v>
      </c>
      <c r="J756" s="3"/>
      <c r="K756" s="3"/>
      <c r="L756" s="5"/>
    </row>
    <row r="757" spans="1:12" ht="28.8" x14ac:dyDescent="0.55000000000000004">
      <c r="A757" s="9" t="str">
        <f>HYPERLINK("PDF\FOIA-FWS-2020-00724-0000756.pdf","FOIA-FWS-2020-00724-0000756")</f>
        <v>FOIA-FWS-2020-00724-0000756</v>
      </c>
      <c r="B757" s="3" t="s">
        <v>1424</v>
      </c>
      <c r="C757" s="3" t="s">
        <v>234</v>
      </c>
      <c r="D757" s="3" t="s">
        <v>4</v>
      </c>
      <c r="E757" s="3" t="s">
        <v>1426</v>
      </c>
      <c r="F757" s="4">
        <v>43437.540972222225</v>
      </c>
      <c r="G757" s="3"/>
      <c r="H757" s="3"/>
      <c r="I757" s="3" t="s">
        <v>7043</v>
      </c>
      <c r="J757" s="3"/>
      <c r="K757" s="3"/>
      <c r="L757" s="5"/>
    </row>
    <row r="758" spans="1:12" ht="28.8" x14ac:dyDescent="0.55000000000000004">
      <c r="A758" s="9" t="str">
        <f>HYPERLINK("PDF\FOIA-FWS-2020-00724-0000757.pdf","FOIA-FWS-2020-00724-0000757")</f>
        <v>FOIA-FWS-2020-00724-0000757</v>
      </c>
      <c r="B758" s="3" t="s">
        <v>1424</v>
      </c>
      <c r="C758" s="3" t="s">
        <v>234</v>
      </c>
      <c r="D758" s="3" t="s">
        <v>4</v>
      </c>
      <c r="E758" s="3" t="s">
        <v>1427</v>
      </c>
      <c r="F758" s="4">
        <v>43437.540972222225</v>
      </c>
      <c r="G758" s="3"/>
      <c r="H758" s="3"/>
      <c r="I758" s="3" t="s">
        <v>7043</v>
      </c>
      <c r="J758" s="3"/>
      <c r="K758" s="3"/>
      <c r="L758" s="5"/>
    </row>
    <row r="759" spans="1:12" ht="28.8" x14ac:dyDescent="0.55000000000000004">
      <c r="A759" s="9" t="str">
        <f>HYPERLINK("PDF\FOIA-FWS-2020-00724-0000758.pdf","FOIA-FWS-2020-00724-0000758")</f>
        <v>FOIA-FWS-2020-00724-0000758</v>
      </c>
      <c r="B759" s="3" t="s">
        <v>1424</v>
      </c>
      <c r="C759" s="3" t="s">
        <v>234</v>
      </c>
      <c r="D759" s="3" t="s">
        <v>4</v>
      </c>
      <c r="E759" s="3" t="s">
        <v>1428</v>
      </c>
      <c r="F759" s="4">
        <v>43437.540972222225</v>
      </c>
      <c r="G759" s="3"/>
      <c r="H759" s="3"/>
      <c r="I759" s="3" t="s">
        <v>7043</v>
      </c>
      <c r="J759" s="3"/>
      <c r="K759" s="3"/>
      <c r="L759" s="5"/>
    </row>
    <row r="760" spans="1:12" ht="28.8" x14ac:dyDescent="0.55000000000000004">
      <c r="A760" s="9" t="str">
        <f>HYPERLINK("PDF\FOIA-FWS-2020-00724-0000759.pdf","FOIA-FWS-2020-00724-0000759")</f>
        <v>FOIA-FWS-2020-00724-0000759</v>
      </c>
      <c r="B760" s="3" t="s">
        <v>1429</v>
      </c>
      <c r="C760" s="3" t="s">
        <v>3</v>
      </c>
      <c r="D760" s="3" t="s">
        <v>33</v>
      </c>
      <c r="E760" s="3" t="s">
        <v>1430</v>
      </c>
      <c r="F760" s="4">
        <v>43437.540972222225</v>
      </c>
      <c r="G760" s="3" t="s">
        <v>1382</v>
      </c>
      <c r="H760" s="3" t="s">
        <v>1070</v>
      </c>
      <c r="I760" s="3" t="s">
        <v>7043</v>
      </c>
      <c r="J760" s="3"/>
      <c r="K760" s="3"/>
      <c r="L760" s="5"/>
    </row>
    <row r="761" spans="1:12" ht="28.8" x14ac:dyDescent="0.55000000000000004">
      <c r="A761" s="9" t="str">
        <f>HYPERLINK("PDF\FOIA-FWS-2020-00724-0000760.pdf","FOIA-FWS-2020-00724-0000760")</f>
        <v>FOIA-FWS-2020-00724-0000760</v>
      </c>
      <c r="B761" s="3" t="s">
        <v>1429</v>
      </c>
      <c r="C761" s="3" t="s">
        <v>234</v>
      </c>
      <c r="D761" s="3" t="s">
        <v>4</v>
      </c>
      <c r="E761" s="3" t="s">
        <v>1431</v>
      </c>
      <c r="F761" s="4">
        <v>43437.540972222225</v>
      </c>
      <c r="G761" s="3"/>
      <c r="H761" s="3"/>
      <c r="I761" s="3" t="s">
        <v>7043</v>
      </c>
      <c r="J761" s="3"/>
      <c r="K761" s="3"/>
      <c r="L761" s="5"/>
    </row>
    <row r="762" spans="1:12" ht="28.8" x14ac:dyDescent="0.55000000000000004">
      <c r="A762" s="9" t="str">
        <f>HYPERLINK("PDF\FOIA-FWS-2020-00724-0000761.pdf","FOIA-FWS-2020-00724-0000761")</f>
        <v>FOIA-FWS-2020-00724-0000761</v>
      </c>
      <c r="B762" s="3" t="s">
        <v>1429</v>
      </c>
      <c r="C762" s="3" t="s">
        <v>234</v>
      </c>
      <c r="D762" s="3" t="s">
        <v>4</v>
      </c>
      <c r="E762" s="3" t="s">
        <v>1432</v>
      </c>
      <c r="F762" s="4">
        <v>43437.540972222225</v>
      </c>
      <c r="G762" s="3"/>
      <c r="H762" s="3"/>
      <c r="I762" s="3" t="s">
        <v>7043</v>
      </c>
      <c r="J762" s="3"/>
      <c r="K762" s="3"/>
      <c r="L762" s="5"/>
    </row>
    <row r="763" spans="1:12" ht="28.8" x14ac:dyDescent="0.55000000000000004">
      <c r="A763" s="9" t="str">
        <f>HYPERLINK("PDF\FOIA-FWS-2020-00724-0000762.pdf","FOIA-FWS-2020-00724-0000762")</f>
        <v>FOIA-FWS-2020-00724-0000762</v>
      </c>
      <c r="B763" s="3" t="s">
        <v>1433</v>
      </c>
      <c r="C763" s="3" t="s">
        <v>3</v>
      </c>
      <c r="D763" s="3" t="s">
        <v>33</v>
      </c>
      <c r="E763" s="3" t="s">
        <v>1434</v>
      </c>
      <c r="F763" s="4">
        <v>43437.557638888888</v>
      </c>
      <c r="G763" s="3" t="s">
        <v>1298</v>
      </c>
      <c r="H763" s="3" t="s">
        <v>1070</v>
      </c>
      <c r="I763" s="3" t="s">
        <v>7043</v>
      </c>
      <c r="J763" s="3"/>
      <c r="K763" s="3"/>
      <c r="L763" s="5"/>
    </row>
    <row r="764" spans="1:12" ht="28.8" x14ac:dyDescent="0.55000000000000004">
      <c r="A764" s="9" t="str">
        <f>HYPERLINK("PDF\FOIA-FWS-2020-00724-0000763.pdf","FOIA-FWS-2020-00724-0000763")</f>
        <v>FOIA-FWS-2020-00724-0000763</v>
      </c>
      <c r="B764" s="3" t="s">
        <v>1435</v>
      </c>
      <c r="C764" s="3" t="s">
        <v>3</v>
      </c>
      <c r="D764" s="3" t="s">
        <v>33</v>
      </c>
      <c r="E764" s="3" t="s">
        <v>1436</v>
      </c>
      <c r="F764" s="4">
        <v>43437.625</v>
      </c>
      <c r="G764" s="3" t="s">
        <v>1392</v>
      </c>
      <c r="H764" s="3" t="s">
        <v>955</v>
      </c>
      <c r="I764" s="3" t="s">
        <v>7043</v>
      </c>
      <c r="J764" s="3"/>
      <c r="K764" s="3"/>
      <c r="L764" s="5"/>
    </row>
    <row r="765" spans="1:12" ht="28.8" x14ac:dyDescent="0.55000000000000004">
      <c r="A765" s="9" t="str">
        <f>HYPERLINK("PDF\FOIA-FWS-2020-00724-0000764.pdf","FOIA-FWS-2020-00724-0000764")</f>
        <v>FOIA-FWS-2020-00724-0000764</v>
      </c>
      <c r="B765" s="3" t="s">
        <v>1435</v>
      </c>
      <c r="C765" s="3" t="s">
        <v>234</v>
      </c>
      <c r="D765" s="3" t="s">
        <v>33</v>
      </c>
      <c r="E765" s="3" t="s">
        <v>1394</v>
      </c>
      <c r="F765" s="4">
        <v>43437.625</v>
      </c>
      <c r="G765" s="3"/>
      <c r="H765" s="3"/>
      <c r="I765" s="3" t="s">
        <v>7043</v>
      </c>
      <c r="J765" s="3"/>
      <c r="K765" s="3"/>
      <c r="L765" s="5"/>
    </row>
    <row r="766" spans="1:12" ht="28.8" x14ac:dyDescent="0.55000000000000004">
      <c r="A766" s="9" t="str">
        <f>HYPERLINK("PDF\FOIA-FWS-2020-00724-0000765.pdf","FOIA-FWS-2020-00724-0000765")</f>
        <v>FOIA-FWS-2020-00724-0000765</v>
      </c>
      <c r="B766" s="3" t="s">
        <v>1437</v>
      </c>
      <c r="C766" s="3" t="s">
        <v>3</v>
      </c>
      <c r="D766" s="3" t="s">
        <v>33</v>
      </c>
      <c r="E766" s="3" t="s">
        <v>1438</v>
      </c>
      <c r="F766" s="4">
        <v>43437.625</v>
      </c>
      <c r="G766" s="3" t="s">
        <v>1396</v>
      </c>
      <c r="H766" s="3" t="s">
        <v>785</v>
      </c>
      <c r="I766" s="3" t="s">
        <v>7043</v>
      </c>
      <c r="J766" s="3"/>
      <c r="K766" s="3"/>
      <c r="L766" s="5"/>
    </row>
    <row r="767" spans="1:12" ht="28.8" x14ac:dyDescent="0.55000000000000004">
      <c r="A767" s="9" t="str">
        <f>HYPERLINK("PDF\FOIA-FWS-2020-00724-0000766.pdf","FOIA-FWS-2020-00724-0000766")</f>
        <v>FOIA-FWS-2020-00724-0000766</v>
      </c>
      <c r="B767" s="3" t="s">
        <v>1437</v>
      </c>
      <c r="C767" s="3" t="s">
        <v>234</v>
      </c>
      <c r="D767" s="3" t="s">
        <v>33</v>
      </c>
      <c r="E767" s="3" t="s">
        <v>1439</v>
      </c>
      <c r="F767" s="4">
        <v>43437.625</v>
      </c>
      <c r="G767" s="3"/>
      <c r="H767" s="3"/>
      <c r="I767" s="3" t="s">
        <v>7043</v>
      </c>
      <c r="J767" s="3"/>
      <c r="K767" s="3"/>
      <c r="L767" s="5"/>
    </row>
    <row r="768" spans="1:12" ht="43.2" x14ac:dyDescent="0.55000000000000004">
      <c r="A768" s="9" t="str">
        <f>HYPERLINK("PDF\FOIA-FWS-2020-00724-0000767.pdf","FOIA-FWS-2020-00724-0000767")</f>
        <v>FOIA-FWS-2020-00724-0000767</v>
      </c>
      <c r="B768" s="3" t="s">
        <v>1440</v>
      </c>
      <c r="C768" s="3" t="s">
        <v>3</v>
      </c>
      <c r="D768" s="3" t="s">
        <v>33</v>
      </c>
      <c r="E768" s="3" t="s">
        <v>1441</v>
      </c>
      <c r="F768" s="4">
        <v>43437.629166666666</v>
      </c>
      <c r="G768" s="3" t="s">
        <v>1298</v>
      </c>
      <c r="H768" s="3" t="s">
        <v>1070</v>
      </c>
      <c r="I768" s="3" t="s">
        <v>7043</v>
      </c>
      <c r="J768" s="3"/>
      <c r="K768" s="3"/>
      <c r="L768" s="5"/>
    </row>
    <row r="769" spans="1:12" ht="28.8" x14ac:dyDescent="0.55000000000000004">
      <c r="A769" s="9" t="str">
        <f>HYPERLINK("PDF\FOIA-FWS-2020-00724-0000768.pdf","FOIA-FWS-2020-00724-0000768")</f>
        <v>FOIA-FWS-2020-00724-0000768</v>
      </c>
      <c r="B769" s="3" t="s">
        <v>1440</v>
      </c>
      <c r="C769" s="3" t="s">
        <v>234</v>
      </c>
      <c r="D769" s="3" t="s">
        <v>33</v>
      </c>
      <c r="E769" s="3" t="s">
        <v>1442</v>
      </c>
      <c r="F769" s="4">
        <v>43437.629166666666</v>
      </c>
      <c r="G769" s="3"/>
      <c r="H769" s="3"/>
      <c r="I769" s="3" t="s">
        <v>7043</v>
      </c>
      <c r="J769" s="3"/>
      <c r="K769" s="3"/>
      <c r="L769" s="5"/>
    </row>
    <row r="770" spans="1:12" ht="28.8" x14ac:dyDescent="0.55000000000000004">
      <c r="A770" s="9" t="str">
        <f>HYPERLINK("PDF\FOIA-FWS-2020-00724-0000769.pdf","FOIA-FWS-2020-00724-0000769")</f>
        <v>FOIA-FWS-2020-00724-0000769</v>
      </c>
      <c r="B770" s="3" t="s">
        <v>1443</v>
      </c>
      <c r="C770" s="3" t="s">
        <v>3</v>
      </c>
      <c r="D770" s="3" t="s">
        <v>33</v>
      </c>
      <c r="E770" s="3" t="s">
        <v>1445</v>
      </c>
      <c r="F770" s="4">
        <v>43437.686805555553</v>
      </c>
      <c r="G770" s="3" t="s">
        <v>872</v>
      </c>
      <c r="H770" s="3" t="s">
        <v>1444</v>
      </c>
      <c r="I770" s="3" t="s">
        <v>7043</v>
      </c>
      <c r="J770" s="3"/>
      <c r="K770" s="3"/>
      <c r="L770" s="5"/>
    </row>
    <row r="771" spans="1:12" ht="28.8" x14ac:dyDescent="0.55000000000000004">
      <c r="A771" s="9" t="str">
        <f>HYPERLINK("PDF\FOIA-FWS-2020-00724-0000770.pdf","FOIA-FWS-2020-00724-0000770")</f>
        <v>FOIA-FWS-2020-00724-0000770</v>
      </c>
      <c r="B771" s="3" t="s">
        <v>1443</v>
      </c>
      <c r="C771" s="3" t="s">
        <v>234</v>
      </c>
      <c r="D771" s="3" t="s">
        <v>33</v>
      </c>
      <c r="E771" s="3" t="s">
        <v>1446</v>
      </c>
      <c r="F771" s="4">
        <v>43437.686805555553</v>
      </c>
      <c r="G771" s="3"/>
      <c r="H771" s="3"/>
      <c r="I771" s="3" t="s">
        <v>7043</v>
      </c>
      <c r="J771" s="3"/>
      <c r="K771" s="3"/>
      <c r="L771" s="5"/>
    </row>
    <row r="772" spans="1:12" ht="28.8" x14ac:dyDescent="0.55000000000000004">
      <c r="A772" s="9" t="str">
        <f>HYPERLINK("PDF\FOIA-FWS-2020-00724-0000771.pdf","FOIA-FWS-2020-00724-0000771")</f>
        <v>FOIA-FWS-2020-00724-0000771</v>
      </c>
      <c r="B772" s="3" t="s">
        <v>1447</v>
      </c>
      <c r="C772" s="3" t="s">
        <v>3</v>
      </c>
      <c r="D772" s="3" t="s">
        <v>33</v>
      </c>
      <c r="E772" s="3" t="s">
        <v>1449</v>
      </c>
      <c r="F772" s="4">
        <v>43437.703472222223</v>
      </c>
      <c r="G772" s="3" t="s">
        <v>1073</v>
      </c>
      <c r="H772" s="3" t="s">
        <v>1448</v>
      </c>
      <c r="I772" s="3" t="s">
        <v>7043</v>
      </c>
      <c r="J772" s="3"/>
      <c r="K772" s="3"/>
      <c r="L772" s="5"/>
    </row>
    <row r="773" spans="1:12" ht="28.8" x14ac:dyDescent="0.55000000000000004">
      <c r="A773" s="9" t="str">
        <f>HYPERLINK("PDF\FOIA-FWS-2020-00724-0000772.pdf","FOIA-FWS-2020-00724-0000772")</f>
        <v>FOIA-FWS-2020-00724-0000772</v>
      </c>
      <c r="B773" s="3" t="s">
        <v>1447</v>
      </c>
      <c r="C773" s="3" t="s">
        <v>234</v>
      </c>
      <c r="D773" s="3" t="s">
        <v>33</v>
      </c>
      <c r="E773" s="3" t="s">
        <v>1450</v>
      </c>
      <c r="F773" s="4">
        <v>43437.703472222223</v>
      </c>
      <c r="G773" s="3"/>
      <c r="H773" s="3"/>
      <c r="I773" s="3" t="s">
        <v>7043</v>
      </c>
      <c r="J773" s="3"/>
      <c r="K773" s="3"/>
      <c r="L773" s="5"/>
    </row>
    <row r="774" spans="1:12" ht="28.8" x14ac:dyDescent="0.55000000000000004">
      <c r="A774" s="9" t="str">
        <f>HYPERLINK("PDF\FOIA-FWS-2020-00724-0000773.pdf","FOIA-FWS-2020-00724-0000773")</f>
        <v>FOIA-FWS-2020-00724-0000773</v>
      </c>
      <c r="B774" s="3" t="s">
        <v>1451</v>
      </c>
      <c r="C774" s="3" t="s">
        <v>3</v>
      </c>
      <c r="D774" s="3" t="s">
        <v>33</v>
      </c>
      <c r="E774" s="3" t="s">
        <v>1452</v>
      </c>
      <c r="F774" s="4">
        <v>43437.703472222223</v>
      </c>
      <c r="G774" s="3" t="s">
        <v>985</v>
      </c>
      <c r="H774" s="3" t="s">
        <v>1392</v>
      </c>
      <c r="I774" s="3" t="s">
        <v>7043</v>
      </c>
      <c r="J774" s="3"/>
      <c r="K774" s="3"/>
      <c r="L774" s="5"/>
    </row>
    <row r="775" spans="1:12" ht="28.8" x14ac:dyDescent="0.55000000000000004">
      <c r="A775" s="9" t="str">
        <f>HYPERLINK("PDF\FOIA-FWS-2020-00724-0000774.pdf","FOIA-FWS-2020-00724-0000774")</f>
        <v>FOIA-FWS-2020-00724-0000774</v>
      </c>
      <c r="B775" s="3" t="s">
        <v>1451</v>
      </c>
      <c r="C775" s="3" t="s">
        <v>234</v>
      </c>
      <c r="D775" s="3" t="s">
        <v>4</v>
      </c>
      <c r="E775" s="3" t="s">
        <v>1453</v>
      </c>
      <c r="F775" s="4">
        <v>43437.703472222223</v>
      </c>
      <c r="G775" s="3"/>
      <c r="H775" s="3"/>
      <c r="I775" s="3" t="s">
        <v>7043</v>
      </c>
      <c r="J775" s="3"/>
      <c r="K775" s="3"/>
      <c r="L775" s="5"/>
    </row>
    <row r="776" spans="1:12" ht="28.8" x14ac:dyDescent="0.55000000000000004">
      <c r="A776" s="9" t="str">
        <f>HYPERLINK("PDF\FOIA-FWS-2020-00724-0000775.pdf","FOIA-FWS-2020-00724-0000775")</f>
        <v>FOIA-FWS-2020-00724-0000775</v>
      </c>
      <c r="B776" s="3" t="s">
        <v>1454</v>
      </c>
      <c r="C776" s="3" t="s">
        <v>3</v>
      </c>
      <c r="D776" s="3" t="s">
        <v>33</v>
      </c>
      <c r="E776" s="3" t="s">
        <v>1455</v>
      </c>
      <c r="F776" s="4">
        <v>43437.718055555553</v>
      </c>
      <c r="G776" s="3" t="s">
        <v>1392</v>
      </c>
      <c r="H776" s="3" t="s">
        <v>985</v>
      </c>
      <c r="I776" s="3" t="s">
        <v>7043</v>
      </c>
      <c r="J776" s="3"/>
      <c r="K776" s="3"/>
      <c r="L776" s="5"/>
    </row>
    <row r="777" spans="1:12" ht="28.8" x14ac:dyDescent="0.55000000000000004">
      <c r="A777" s="9" t="str">
        <f>HYPERLINK("PDF\FOIA-FWS-2020-00724-0000776.pdf","FOIA-FWS-2020-00724-0000776")</f>
        <v>FOIA-FWS-2020-00724-0000776</v>
      </c>
      <c r="B777" s="3" t="s">
        <v>1456</v>
      </c>
      <c r="C777" s="3" t="s">
        <v>3</v>
      </c>
      <c r="D777" s="3" t="s">
        <v>33</v>
      </c>
      <c r="E777" s="3" t="s">
        <v>1457</v>
      </c>
      <c r="F777" s="4">
        <v>43437.718055555553</v>
      </c>
      <c r="G777" s="3" t="s">
        <v>1396</v>
      </c>
      <c r="H777" s="3" t="s">
        <v>1070</v>
      </c>
      <c r="I777" s="3" t="s">
        <v>7043</v>
      </c>
      <c r="J777" s="3"/>
      <c r="K777" s="3"/>
      <c r="L777" s="5"/>
    </row>
    <row r="778" spans="1:12" ht="28.8" x14ac:dyDescent="0.55000000000000004">
      <c r="A778" s="9" t="str">
        <f>HYPERLINK("PDF\FOIA-FWS-2020-00724-0000777.pdf","FOIA-FWS-2020-00724-0000777")</f>
        <v>FOIA-FWS-2020-00724-0000777</v>
      </c>
      <c r="B778" s="3" t="s">
        <v>1458</v>
      </c>
      <c r="C778" s="3" t="s">
        <v>3</v>
      </c>
      <c r="D778" s="3" t="s">
        <v>33</v>
      </c>
      <c r="E778" s="3" t="s">
        <v>1459</v>
      </c>
      <c r="F778" s="4">
        <v>43437.724999999999</v>
      </c>
      <c r="G778" s="3" t="s">
        <v>1392</v>
      </c>
      <c r="H778" s="3" t="s">
        <v>955</v>
      </c>
      <c r="I778" s="3" t="s">
        <v>7048</v>
      </c>
      <c r="J778" s="3" t="s">
        <v>7050</v>
      </c>
      <c r="K778" s="3" t="s">
        <v>7036</v>
      </c>
      <c r="L778" s="5"/>
    </row>
    <row r="779" spans="1:12" ht="28.8" x14ac:dyDescent="0.55000000000000004">
      <c r="A779" s="9" t="str">
        <f>HYPERLINK("PDF\FOIA-FWS-2020-00724-0000778.pdf","FOIA-FWS-2020-00724-0000778")</f>
        <v>FOIA-FWS-2020-00724-0000778</v>
      </c>
      <c r="B779" s="3" t="s">
        <v>1460</v>
      </c>
      <c r="C779" s="3" t="s">
        <v>3</v>
      </c>
      <c r="D779" s="3" t="s">
        <v>33</v>
      </c>
      <c r="E779" s="3" t="s">
        <v>1461</v>
      </c>
      <c r="F779" s="4">
        <v>43437.731944444444</v>
      </c>
      <c r="G779" s="3" t="s">
        <v>919</v>
      </c>
      <c r="H779" s="3" t="s">
        <v>955</v>
      </c>
      <c r="I779" s="3" t="s">
        <v>7043</v>
      </c>
      <c r="J779" s="3"/>
      <c r="K779" s="3"/>
      <c r="L779" s="5"/>
    </row>
    <row r="780" spans="1:12" ht="28.8" x14ac:dyDescent="0.55000000000000004">
      <c r="A780" s="9" t="str">
        <f>HYPERLINK("PDF\FOIA-FWS-2020-00724-0000779.pdf","FOIA-FWS-2020-00724-0000779")</f>
        <v>FOIA-FWS-2020-00724-0000779</v>
      </c>
      <c r="B780" s="3" t="s">
        <v>1462</v>
      </c>
      <c r="C780" s="3" t="s">
        <v>3</v>
      </c>
      <c r="D780" s="3" t="s">
        <v>33</v>
      </c>
      <c r="E780" s="3" t="s">
        <v>1464</v>
      </c>
      <c r="F780" s="4">
        <v>43437.781944444447</v>
      </c>
      <c r="G780" s="3" t="s">
        <v>1151</v>
      </c>
      <c r="H780" s="3" t="s">
        <v>1463</v>
      </c>
      <c r="I780" s="3" t="s">
        <v>7043</v>
      </c>
      <c r="J780" s="3"/>
      <c r="K780" s="3"/>
      <c r="L780" s="5"/>
    </row>
    <row r="781" spans="1:12" ht="28.8" x14ac:dyDescent="0.55000000000000004">
      <c r="A781" s="9" t="str">
        <f>HYPERLINK("PDF\FOIA-FWS-2020-00724-0000780.pdf","FOIA-FWS-2020-00724-0000780")</f>
        <v>FOIA-FWS-2020-00724-0000780</v>
      </c>
      <c r="B781" s="3" t="s">
        <v>1462</v>
      </c>
      <c r="C781" s="3" t="s">
        <v>234</v>
      </c>
      <c r="D781" s="3" t="s">
        <v>4</v>
      </c>
      <c r="E781" s="3" t="s">
        <v>1465</v>
      </c>
      <c r="F781" s="4">
        <v>43437.781944444447</v>
      </c>
      <c r="G781" s="3"/>
      <c r="H781" s="3"/>
      <c r="I781" s="3" t="s">
        <v>7043</v>
      </c>
      <c r="J781" s="3"/>
      <c r="K781" s="3"/>
      <c r="L781" s="5"/>
    </row>
    <row r="782" spans="1:12" ht="28.8" x14ac:dyDescent="0.55000000000000004">
      <c r="A782" s="9" t="str">
        <f>HYPERLINK("PDF\FOIA-FWS-2020-00724-0000781.pdf","FOIA-FWS-2020-00724-0000781")</f>
        <v>FOIA-FWS-2020-00724-0000781</v>
      </c>
      <c r="B782" s="3" t="s">
        <v>1462</v>
      </c>
      <c r="C782" s="3" t="s">
        <v>234</v>
      </c>
      <c r="D782" s="3" t="s">
        <v>4</v>
      </c>
      <c r="E782" s="3" t="s">
        <v>1466</v>
      </c>
      <c r="F782" s="4">
        <v>43437.781944444447</v>
      </c>
      <c r="G782" s="3"/>
      <c r="H782" s="3"/>
      <c r="I782" s="3" t="s">
        <v>7043</v>
      </c>
      <c r="J782" s="3"/>
      <c r="K782" s="3"/>
      <c r="L782" s="5"/>
    </row>
    <row r="783" spans="1:12" ht="28.8" x14ac:dyDescent="0.55000000000000004">
      <c r="A783" s="9" t="str">
        <f>HYPERLINK("PDF\FOIA-FWS-2020-00724-0000782.pdf","FOIA-FWS-2020-00724-0000782")</f>
        <v>FOIA-FWS-2020-00724-0000782</v>
      </c>
      <c r="B783" s="3" t="s">
        <v>1462</v>
      </c>
      <c r="C783" s="3" t="s">
        <v>234</v>
      </c>
      <c r="D783" s="3" t="s">
        <v>4</v>
      </c>
      <c r="E783" s="3" t="s">
        <v>1467</v>
      </c>
      <c r="F783" s="4">
        <v>43437.781944444447</v>
      </c>
      <c r="G783" s="3"/>
      <c r="H783" s="3"/>
      <c r="I783" s="3" t="s">
        <v>7043</v>
      </c>
      <c r="J783" s="3"/>
      <c r="K783" s="3"/>
      <c r="L783" s="5"/>
    </row>
    <row r="784" spans="1:12" ht="28.8" x14ac:dyDescent="0.55000000000000004">
      <c r="A784" s="9" t="str">
        <f>HYPERLINK("PDF\FOIA-FWS-2020-00724-0000783.pdf","FOIA-FWS-2020-00724-0000783")</f>
        <v>FOIA-FWS-2020-00724-0000783</v>
      </c>
      <c r="B784" s="3" t="s">
        <v>1462</v>
      </c>
      <c r="C784" s="3" t="s">
        <v>234</v>
      </c>
      <c r="D784" s="3" t="s">
        <v>4</v>
      </c>
      <c r="E784" s="3" t="s">
        <v>1468</v>
      </c>
      <c r="F784" s="4">
        <v>43437.781944444447</v>
      </c>
      <c r="G784" s="3"/>
      <c r="H784" s="3"/>
      <c r="I784" s="3" t="s">
        <v>7043</v>
      </c>
      <c r="J784" s="3"/>
      <c r="K784" s="3"/>
      <c r="L784" s="5"/>
    </row>
    <row r="785" spans="1:12" ht="28.8" x14ac:dyDescent="0.55000000000000004">
      <c r="A785" s="9" t="str">
        <f>HYPERLINK("PDF\FOIA-FWS-2020-00724-0000784.pdf","FOIA-FWS-2020-00724-0000784")</f>
        <v>FOIA-FWS-2020-00724-0000784</v>
      </c>
      <c r="B785" s="3" t="s">
        <v>1462</v>
      </c>
      <c r="C785" s="3" t="s">
        <v>234</v>
      </c>
      <c r="D785" s="3" t="s">
        <v>4</v>
      </c>
      <c r="E785" s="3" t="s">
        <v>1469</v>
      </c>
      <c r="F785" s="4">
        <v>43437.781944444447</v>
      </c>
      <c r="G785" s="3"/>
      <c r="H785" s="3"/>
      <c r="I785" s="3" t="s">
        <v>7043</v>
      </c>
      <c r="J785" s="3"/>
      <c r="K785" s="3"/>
      <c r="L785" s="5"/>
    </row>
    <row r="786" spans="1:12" ht="28.8" x14ac:dyDescent="0.55000000000000004">
      <c r="A786" s="9" t="str">
        <f>HYPERLINK("PDF\FOIA-FWS-2020-00724-0000785.pdf","FOIA-FWS-2020-00724-0000785")</f>
        <v>FOIA-FWS-2020-00724-0000785</v>
      </c>
      <c r="B786" s="3" t="s">
        <v>1462</v>
      </c>
      <c r="C786" s="3" t="s">
        <v>234</v>
      </c>
      <c r="D786" s="3" t="s">
        <v>4</v>
      </c>
      <c r="E786" s="3" t="s">
        <v>1470</v>
      </c>
      <c r="F786" s="4">
        <v>43437.781944444447</v>
      </c>
      <c r="G786" s="3"/>
      <c r="H786" s="3"/>
      <c r="I786" s="3" t="s">
        <v>7043</v>
      </c>
      <c r="J786" s="3"/>
      <c r="K786" s="3"/>
      <c r="L786" s="5"/>
    </row>
    <row r="787" spans="1:12" ht="28.8" x14ac:dyDescent="0.55000000000000004">
      <c r="A787" s="9" t="str">
        <f>HYPERLINK("PDF\FOIA-FWS-2020-00724-0000786.pdf","FOIA-FWS-2020-00724-0000786")</f>
        <v>FOIA-FWS-2020-00724-0000786</v>
      </c>
      <c r="B787" s="3" t="s">
        <v>1462</v>
      </c>
      <c r="C787" s="3" t="s">
        <v>234</v>
      </c>
      <c r="D787" s="3" t="s">
        <v>4</v>
      </c>
      <c r="E787" s="3" t="s">
        <v>1471</v>
      </c>
      <c r="F787" s="4">
        <v>43437.781944444447</v>
      </c>
      <c r="G787" s="3"/>
      <c r="H787" s="3"/>
      <c r="I787" s="3" t="s">
        <v>7043</v>
      </c>
      <c r="J787" s="3"/>
      <c r="K787" s="3"/>
      <c r="L787" s="5"/>
    </row>
    <row r="788" spans="1:12" ht="28.8" x14ac:dyDescent="0.55000000000000004">
      <c r="A788" s="9" t="str">
        <f>HYPERLINK("PDF\FOIA-FWS-2020-00724-0000787.pdf","FOIA-FWS-2020-00724-0000787")</f>
        <v>FOIA-FWS-2020-00724-0000787</v>
      </c>
      <c r="B788" s="3" t="s">
        <v>1462</v>
      </c>
      <c r="C788" s="3" t="s">
        <v>234</v>
      </c>
      <c r="D788" s="3" t="s">
        <v>4</v>
      </c>
      <c r="E788" s="3" t="s">
        <v>1472</v>
      </c>
      <c r="F788" s="4">
        <v>43437.781944444447</v>
      </c>
      <c r="G788" s="3"/>
      <c r="H788" s="3"/>
      <c r="I788" s="3" t="s">
        <v>7043</v>
      </c>
      <c r="J788" s="3"/>
      <c r="K788" s="3"/>
      <c r="L788" s="5"/>
    </row>
    <row r="789" spans="1:12" ht="28.8" x14ac:dyDescent="0.55000000000000004">
      <c r="A789" s="9" t="str">
        <f>HYPERLINK("PDF\FOIA-FWS-2020-00724-0000788.pdf","FOIA-FWS-2020-00724-0000788")</f>
        <v>FOIA-FWS-2020-00724-0000788</v>
      </c>
      <c r="B789" s="3" t="s">
        <v>1462</v>
      </c>
      <c r="C789" s="3" t="s">
        <v>234</v>
      </c>
      <c r="D789" s="3" t="s">
        <v>4</v>
      </c>
      <c r="E789" s="3" t="s">
        <v>1473</v>
      </c>
      <c r="F789" s="4">
        <v>43437.781944444447</v>
      </c>
      <c r="G789" s="3"/>
      <c r="H789" s="3"/>
      <c r="I789" s="3" t="s">
        <v>7043</v>
      </c>
      <c r="J789" s="3"/>
      <c r="K789" s="3"/>
      <c r="L789" s="5"/>
    </row>
    <row r="790" spans="1:12" ht="28.8" x14ac:dyDescent="0.55000000000000004">
      <c r="A790" s="9" t="str">
        <f>HYPERLINK("PDF\FOIA-FWS-2020-00724-0000789.pdf","FOIA-FWS-2020-00724-0000789")</f>
        <v>FOIA-FWS-2020-00724-0000789</v>
      </c>
      <c r="B790" s="3" t="s">
        <v>1462</v>
      </c>
      <c r="C790" s="3" t="s">
        <v>234</v>
      </c>
      <c r="D790" s="3" t="s">
        <v>33</v>
      </c>
      <c r="E790" s="3" t="s">
        <v>1474</v>
      </c>
      <c r="F790" s="4">
        <v>43437.781944444447</v>
      </c>
      <c r="G790" s="3"/>
      <c r="H790" s="3"/>
      <c r="I790" s="3" t="s">
        <v>7043</v>
      </c>
      <c r="J790" s="3"/>
      <c r="K790" s="3"/>
      <c r="L790" s="5"/>
    </row>
    <row r="791" spans="1:12" ht="28.8" x14ac:dyDescent="0.55000000000000004">
      <c r="A791" s="9" t="str">
        <f>HYPERLINK("PDF\FOIA-FWS-2020-00724-0000790.pdf","FOIA-FWS-2020-00724-0000790")</f>
        <v>FOIA-FWS-2020-00724-0000790</v>
      </c>
      <c r="B791" s="3" t="s">
        <v>1462</v>
      </c>
      <c r="C791" s="3" t="s">
        <v>234</v>
      </c>
      <c r="D791" s="3" t="s">
        <v>4</v>
      </c>
      <c r="E791" s="3" t="s">
        <v>1475</v>
      </c>
      <c r="F791" s="4">
        <v>43437.781944444447</v>
      </c>
      <c r="G791" s="3"/>
      <c r="H791" s="3"/>
      <c r="I791" s="3" t="s">
        <v>7043</v>
      </c>
      <c r="J791" s="3"/>
      <c r="K791" s="3"/>
      <c r="L791" s="5"/>
    </row>
    <row r="792" spans="1:12" ht="28.8" x14ac:dyDescent="0.55000000000000004">
      <c r="A792" s="9" t="str">
        <f>HYPERLINK("PDF\FOIA-FWS-2020-00724-0000791.pdf","FOIA-FWS-2020-00724-0000791")</f>
        <v>FOIA-FWS-2020-00724-0000791</v>
      </c>
      <c r="B792" s="3" t="s">
        <v>1462</v>
      </c>
      <c r="C792" s="3" t="s">
        <v>234</v>
      </c>
      <c r="D792" s="3" t="s">
        <v>4</v>
      </c>
      <c r="E792" s="3" t="s">
        <v>1476</v>
      </c>
      <c r="F792" s="4">
        <v>43437.781944444447</v>
      </c>
      <c r="G792" s="3"/>
      <c r="H792" s="3"/>
      <c r="I792" s="3" t="s">
        <v>7043</v>
      </c>
      <c r="J792" s="3"/>
      <c r="K792" s="3"/>
      <c r="L792" s="5"/>
    </row>
    <row r="793" spans="1:12" ht="28.8" x14ac:dyDescent="0.55000000000000004">
      <c r="A793" s="9" t="str">
        <f>HYPERLINK("PDF\FOIA-FWS-2020-00724-0000792.pdf","FOIA-FWS-2020-00724-0000792")</f>
        <v>FOIA-FWS-2020-00724-0000792</v>
      </c>
      <c r="B793" s="3" t="s">
        <v>1477</v>
      </c>
      <c r="C793" s="3" t="s">
        <v>3</v>
      </c>
      <c r="D793" s="3" t="s">
        <v>33</v>
      </c>
      <c r="E793" s="3" t="s">
        <v>1478</v>
      </c>
      <c r="F793" s="4">
        <v>43437.798611111109</v>
      </c>
      <c r="G793" s="3" t="s">
        <v>1069</v>
      </c>
      <c r="H793" s="3" t="s">
        <v>1070</v>
      </c>
      <c r="I793" s="3" t="s">
        <v>7043</v>
      </c>
      <c r="J793" s="3"/>
      <c r="K793" s="3"/>
      <c r="L793" s="5"/>
    </row>
    <row r="794" spans="1:12" ht="28.8" x14ac:dyDescent="0.55000000000000004">
      <c r="A794" s="9" t="str">
        <f>HYPERLINK("PDF\FOIA-FWS-2020-00724-0000793.pdf","FOIA-FWS-2020-00724-0000793")</f>
        <v>FOIA-FWS-2020-00724-0000793</v>
      </c>
      <c r="B794" s="3" t="s">
        <v>1477</v>
      </c>
      <c r="C794" s="3" t="s">
        <v>234</v>
      </c>
      <c r="D794" s="3" t="s">
        <v>33</v>
      </c>
      <c r="E794" s="3" t="s">
        <v>1107</v>
      </c>
      <c r="F794" s="4">
        <v>43437.798611111109</v>
      </c>
      <c r="G794" s="3"/>
      <c r="H794" s="3"/>
      <c r="I794" s="3" t="s">
        <v>7043</v>
      </c>
      <c r="J794" s="3"/>
      <c r="K794" s="3"/>
      <c r="L794" s="5"/>
    </row>
    <row r="795" spans="1:12" ht="43.2" x14ac:dyDescent="0.55000000000000004">
      <c r="A795" s="9" t="str">
        <f>HYPERLINK("PDF\FOIA-FWS-2020-00724-0000794.pdf","FOIA-FWS-2020-00724-0000794")</f>
        <v>FOIA-FWS-2020-00724-0000794</v>
      </c>
      <c r="B795" s="3" t="s">
        <v>1479</v>
      </c>
      <c r="C795" s="3" t="s">
        <v>3</v>
      </c>
      <c r="D795" s="3" t="s">
        <v>33</v>
      </c>
      <c r="E795" s="3" t="s">
        <v>1480</v>
      </c>
      <c r="F795" s="4">
        <v>43438</v>
      </c>
      <c r="G795" s="3"/>
      <c r="H795" s="3"/>
      <c r="I795" s="3" t="s">
        <v>7043</v>
      </c>
      <c r="J795" s="3"/>
      <c r="K795" s="3"/>
      <c r="L795" s="5"/>
    </row>
    <row r="796" spans="1:12" ht="28.8" x14ac:dyDescent="0.55000000000000004">
      <c r="A796" s="9" t="str">
        <f>HYPERLINK("PDF\FOIA-FWS-2020-00724-0000795.pdf","FOIA-FWS-2020-00724-0000795")</f>
        <v>FOIA-FWS-2020-00724-0000795</v>
      </c>
      <c r="B796" s="3" t="s">
        <v>1481</v>
      </c>
      <c r="C796" s="3" t="s">
        <v>234</v>
      </c>
      <c r="D796" s="3" t="s">
        <v>33</v>
      </c>
      <c r="E796" s="3" t="s">
        <v>1482</v>
      </c>
      <c r="F796" s="4">
        <v>43438.382638888892</v>
      </c>
      <c r="G796" s="3"/>
      <c r="H796" s="3"/>
      <c r="I796" s="3" t="s">
        <v>7043</v>
      </c>
      <c r="J796" s="3"/>
      <c r="K796" s="3"/>
      <c r="L796" s="5"/>
    </row>
    <row r="797" spans="1:12" ht="28.8" x14ac:dyDescent="0.55000000000000004">
      <c r="A797" s="9" t="str">
        <f>HYPERLINK("PDF\FOIA-FWS-2020-00724-0000796.pdf","FOIA-FWS-2020-00724-0000796")</f>
        <v>FOIA-FWS-2020-00724-0000796</v>
      </c>
      <c r="B797" s="3" t="s">
        <v>1481</v>
      </c>
      <c r="C797" s="3" t="s">
        <v>3</v>
      </c>
      <c r="D797" s="3" t="s">
        <v>33</v>
      </c>
      <c r="E797" s="3" t="s">
        <v>1483</v>
      </c>
      <c r="F797" s="4">
        <v>43438.382638888892</v>
      </c>
      <c r="G797" s="3" t="s">
        <v>985</v>
      </c>
      <c r="H797" s="3" t="s">
        <v>963</v>
      </c>
      <c r="I797" s="3" t="s">
        <v>7043</v>
      </c>
      <c r="J797" s="3"/>
      <c r="K797" s="3"/>
      <c r="L797" s="5"/>
    </row>
    <row r="798" spans="1:12" ht="28.8" x14ac:dyDescent="0.55000000000000004">
      <c r="A798" s="9" t="str">
        <f>HYPERLINK("PDF\FOIA-FWS-2020-00724-0000797.pdf","FOIA-FWS-2020-00724-0000797")</f>
        <v>FOIA-FWS-2020-00724-0000797</v>
      </c>
      <c r="B798" s="3" t="s">
        <v>1484</v>
      </c>
      <c r="C798" s="3" t="s">
        <v>3</v>
      </c>
      <c r="D798" s="3" t="s">
        <v>33</v>
      </c>
      <c r="E798" s="3" t="s">
        <v>1485</v>
      </c>
      <c r="F798" s="4">
        <v>43438.46875</v>
      </c>
      <c r="G798" s="3" t="s">
        <v>1298</v>
      </c>
      <c r="H798" s="3" t="s">
        <v>1070</v>
      </c>
      <c r="I798" s="3" t="s">
        <v>7043</v>
      </c>
      <c r="J798" s="3"/>
      <c r="K798" s="3"/>
      <c r="L798" s="5"/>
    </row>
    <row r="799" spans="1:12" ht="28.8" x14ac:dyDescent="0.55000000000000004">
      <c r="A799" s="9" t="str">
        <f>HYPERLINK("PDF\FOIA-FWS-2020-00724-0000798.pdf","FOIA-FWS-2020-00724-0000798")</f>
        <v>FOIA-FWS-2020-00724-0000798</v>
      </c>
      <c r="B799" s="3" t="s">
        <v>1486</v>
      </c>
      <c r="C799" s="3" t="s">
        <v>3</v>
      </c>
      <c r="D799" s="3" t="s">
        <v>33</v>
      </c>
      <c r="E799" s="3" t="s">
        <v>1487</v>
      </c>
      <c r="F799" s="4">
        <v>43438.51458333333</v>
      </c>
      <c r="G799" s="3" t="s">
        <v>1382</v>
      </c>
      <c r="H799" s="3" t="s">
        <v>1070</v>
      </c>
      <c r="I799" s="3" t="s">
        <v>7043</v>
      </c>
      <c r="J799" s="3"/>
      <c r="K799" s="3"/>
      <c r="L799" s="5"/>
    </row>
    <row r="800" spans="1:12" ht="28.8" x14ac:dyDescent="0.55000000000000004">
      <c r="A800" s="9" t="str">
        <f>HYPERLINK("PDF\FOIA-FWS-2020-00724-0000799.pdf","FOIA-FWS-2020-00724-0000799")</f>
        <v>FOIA-FWS-2020-00724-0000799</v>
      </c>
      <c r="B800" s="3" t="s">
        <v>1488</v>
      </c>
      <c r="C800" s="3" t="s">
        <v>3</v>
      </c>
      <c r="D800" s="3" t="s">
        <v>33</v>
      </c>
      <c r="E800" s="3" t="s">
        <v>1490</v>
      </c>
      <c r="F800" s="4">
        <v>43438.748611111114</v>
      </c>
      <c r="G800" s="3" t="s">
        <v>1489</v>
      </c>
      <c r="H800" s="3" t="s">
        <v>963</v>
      </c>
      <c r="I800" s="3" t="s">
        <v>7043</v>
      </c>
      <c r="J800" s="3"/>
      <c r="K800" s="3"/>
      <c r="L800" s="5"/>
    </row>
    <row r="801" spans="1:12" ht="28.8" x14ac:dyDescent="0.55000000000000004">
      <c r="A801" s="9" t="str">
        <f>HYPERLINK("PDF\FOIA-FWS-2020-00724-0000800.pdf","FOIA-FWS-2020-00724-0000800")</f>
        <v>FOIA-FWS-2020-00724-0000800</v>
      </c>
      <c r="B801" s="3" t="s">
        <v>1491</v>
      </c>
      <c r="C801" s="3" t="s">
        <v>3</v>
      </c>
      <c r="D801" s="3" t="s">
        <v>33</v>
      </c>
      <c r="E801" s="3" t="s">
        <v>1492</v>
      </c>
      <c r="F801" s="4">
        <v>43438.751388888886</v>
      </c>
      <c r="G801" s="3" t="s">
        <v>1392</v>
      </c>
      <c r="H801" s="3" t="s">
        <v>963</v>
      </c>
      <c r="I801" s="3" t="s">
        <v>7043</v>
      </c>
      <c r="J801" s="3"/>
      <c r="K801" s="3"/>
      <c r="L801" s="5"/>
    </row>
    <row r="802" spans="1:12" ht="28.8" x14ac:dyDescent="0.55000000000000004">
      <c r="A802" s="9" t="str">
        <f>HYPERLINK("PDF\FOIA-FWS-2020-00724-0000801.pdf","FOIA-FWS-2020-00724-0000801")</f>
        <v>FOIA-FWS-2020-00724-0000801</v>
      </c>
      <c r="B802" s="3" t="s">
        <v>1493</v>
      </c>
      <c r="C802" s="3" t="s">
        <v>3</v>
      </c>
      <c r="D802" s="3" t="s">
        <v>33</v>
      </c>
      <c r="E802" s="3" t="s">
        <v>1495</v>
      </c>
      <c r="F802" s="4">
        <v>43438.752083333333</v>
      </c>
      <c r="G802" s="3" t="s">
        <v>1392</v>
      </c>
      <c r="H802" s="3" t="s">
        <v>1494</v>
      </c>
      <c r="I802" s="3" t="s">
        <v>7043</v>
      </c>
      <c r="J802" s="3"/>
      <c r="K802" s="3"/>
      <c r="L802" s="5"/>
    </row>
    <row r="803" spans="1:12" ht="28.8" x14ac:dyDescent="0.55000000000000004">
      <c r="A803" s="9" t="str">
        <f>HYPERLINK("PDF\FOIA-FWS-2020-00724-0000802.pdf","FOIA-FWS-2020-00724-0000802")</f>
        <v>FOIA-FWS-2020-00724-0000802</v>
      </c>
      <c r="B803" s="3" t="s">
        <v>1493</v>
      </c>
      <c r="C803" s="3" t="s">
        <v>234</v>
      </c>
      <c r="D803" s="3" t="s">
        <v>33</v>
      </c>
      <c r="E803" s="3" t="s">
        <v>1309</v>
      </c>
      <c r="F803" s="4">
        <v>43438.752083333333</v>
      </c>
      <c r="G803" s="3"/>
      <c r="H803" s="3"/>
      <c r="I803" s="3" t="s">
        <v>7043</v>
      </c>
      <c r="J803" s="3"/>
      <c r="K803" s="3"/>
      <c r="L803" s="5"/>
    </row>
    <row r="804" spans="1:12" ht="28.8" x14ac:dyDescent="0.55000000000000004">
      <c r="A804" s="9" t="str">
        <f>HYPERLINK("PDF\FOIA-FWS-2020-00724-0000803.pdf","FOIA-FWS-2020-00724-0000803")</f>
        <v>FOIA-FWS-2020-00724-0000803</v>
      </c>
      <c r="B804" s="3" t="s">
        <v>1496</v>
      </c>
      <c r="C804" s="3" t="s">
        <v>3</v>
      </c>
      <c r="D804" s="3" t="s">
        <v>33</v>
      </c>
      <c r="E804" s="3" t="s">
        <v>1498</v>
      </c>
      <c r="F804" s="4">
        <v>43438.770138888889</v>
      </c>
      <c r="G804" s="3" t="s">
        <v>1069</v>
      </c>
      <c r="H804" s="3" t="s">
        <v>1497</v>
      </c>
      <c r="I804" s="3" t="s">
        <v>7043</v>
      </c>
      <c r="J804" s="3"/>
      <c r="K804" s="3"/>
      <c r="L804" s="5"/>
    </row>
    <row r="805" spans="1:12" ht="28.8" x14ac:dyDescent="0.55000000000000004">
      <c r="A805" s="9" t="str">
        <f>HYPERLINK("PDF\FOIA-FWS-2020-00724-0000804.pdf","FOIA-FWS-2020-00724-0000804")</f>
        <v>FOIA-FWS-2020-00724-0000804</v>
      </c>
      <c r="B805" s="3" t="s">
        <v>1496</v>
      </c>
      <c r="C805" s="3" t="s">
        <v>234</v>
      </c>
      <c r="D805" s="3" t="s">
        <v>33</v>
      </c>
      <c r="E805" s="3" t="s">
        <v>1107</v>
      </c>
      <c r="F805" s="4">
        <v>43438.770138888889</v>
      </c>
      <c r="G805" s="3"/>
      <c r="H805" s="3"/>
      <c r="I805" s="3" t="s">
        <v>7043</v>
      </c>
      <c r="J805" s="3"/>
      <c r="K805" s="3"/>
      <c r="L805" s="5"/>
    </row>
    <row r="806" spans="1:12" ht="28.8" x14ac:dyDescent="0.55000000000000004">
      <c r="A806" s="9" t="str">
        <f>HYPERLINK("PDF\FOIA-FWS-2020-00724-0000805.pdf","FOIA-FWS-2020-00724-0000805")</f>
        <v>FOIA-FWS-2020-00724-0000805</v>
      </c>
      <c r="B806" s="3" t="s">
        <v>1499</v>
      </c>
      <c r="C806" s="3" t="s">
        <v>3</v>
      </c>
      <c r="D806" s="3" t="s">
        <v>33</v>
      </c>
      <c r="E806" s="3" t="s">
        <v>1500</v>
      </c>
      <c r="F806" s="4">
        <v>43438.770833333336</v>
      </c>
      <c r="G806" s="3" t="s">
        <v>1298</v>
      </c>
      <c r="H806" s="3" t="s">
        <v>1070</v>
      </c>
      <c r="I806" s="3" t="s">
        <v>7043</v>
      </c>
      <c r="J806" s="3"/>
      <c r="K806" s="3"/>
      <c r="L806" s="5"/>
    </row>
    <row r="807" spans="1:12" ht="28.8" x14ac:dyDescent="0.55000000000000004">
      <c r="A807" s="9" t="str">
        <f>HYPERLINK("PDF\FOIA-FWS-2020-00724-0000806.pdf","FOIA-FWS-2020-00724-0000806")</f>
        <v>FOIA-FWS-2020-00724-0000806</v>
      </c>
      <c r="B807" s="3" t="s">
        <v>1501</v>
      </c>
      <c r="C807" s="3" t="s">
        <v>234</v>
      </c>
      <c r="D807" s="3" t="s">
        <v>33</v>
      </c>
      <c r="E807" s="3" t="s">
        <v>1502</v>
      </c>
      <c r="F807" s="4">
        <v>43438.839583333334</v>
      </c>
      <c r="G807" s="3"/>
      <c r="H807" s="3"/>
      <c r="I807" s="3" t="s">
        <v>7043</v>
      </c>
      <c r="J807" s="3"/>
      <c r="K807" s="3"/>
      <c r="L807" s="5"/>
    </row>
    <row r="808" spans="1:12" ht="28.8" x14ac:dyDescent="0.55000000000000004">
      <c r="A808" s="9" t="str">
        <f>HYPERLINK("PDF\FOIA-FWS-2020-00724-0000807.pdf","FOIA-FWS-2020-00724-0000807")</f>
        <v>FOIA-FWS-2020-00724-0000807</v>
      </c>
      <c r="B808" s="3" t="s">
        <v>1501</v>
      </c>
      <c r="C808" s="3" t="s">
        <v>3</v>
      </c>
      <c r="D808" s="3" t="s">
        <v>33</v>
      </c>
      <c r="E808" s="3" t="s">
        <v>1504</v>
      </c>
      <c r="F808" s="4">
        <v>43438.839583333334</v>
      </c>
      <c r="G808" s="3" t="s">
        <v>1392</v>
      </c>
      <c r="H808" s="3" t="s">
        <v>1503</v>
      </c>
      <c r="I808" s="3" t="s">
        <v>7043</v>
      </c>
      <c r="J808" s="3"/>
      <c r="K808" s="3"/>
      <c r="L808" s="5"/>
    </row>
    <row r="809" spans="1:12" ht="28.8" x14ac:dyDescent="0.55000000000000004">
      <c r="A809" s="9" t="str">
        <f>HYPERLINK("PDF\FOIA-FWS-2020-00724-0000808.pdf","FOIA-FWS-2020-00724-0000808")</f>
        <v>FOIA-FWS-2020-00724-0000808</v>
      </c>
      <c r="B809" s="3" t="s">
        <v>1505</v>
      </c>
      <c r="C809" s="3" t="s">
        <v>3</v>
      </c>
      <c r="D809" s="3" t="s">
        <v>33</v>
      </c>
      <c r="E809" s="3" t="s">
        <v>1507</v>
      </c>
      <c r="F809" s="4">
        <v>43438.839583333334</v>
      </c>
      <c r="G809" s="3" t="s">
        <v>1396</v>
      </c>
      <c r="H809" s="3" t="s">
        <v>1506</v>
      </c>
      <c r="I809" s="3" t="s">
        <v>7043</v>
      </c>
      <c r="J809" s="3"/>
      <c r="K809" s="3"/>
      <c r="L809" s="5"/>
    </row>
    <row r="810" spans="1:12" ht="28.8" x14ac:dyDescent="0.55000000000000004">
      <c r="A810" s="9" t="str">
        <f>HYPERLINK("PDF\FOIA-FWS-2020-00724-0000809.pdf","FOIA-FWS-2020-00724-0000809")</f>
        <v>FOIA-FWS-2020-00724-0000809</v>
      </c>
      <c r="B810" s="3" t="s">
        <v>1505</v>
      </c>
      <c r="C810" s="3" t="s">
        <v>234</v>
      </c>
      <c r="D810" s="3" t="s">
        <v>33</v>
      </c>
      <c r="E810" s="3" t="s">
        <v>1502</v>
      </c>
      <c r="F810" s="4">
        <v>43438.839583333334</v>
      </c>
      <c r="G810" s="3"/>
      <c r="H810" s="3"/>
      <c r="I810" s="3" t="s">
        <v>7043</v>
      </c>
      <c r="J810" s="3"/>
      <c r="K810" s="3"/>
      <c r="L810" s="5"/>
    </row>
    <row r="811" spans="1:12" ht="28.8" x14ac:dyDescent="0.55000000000000004">
      <c r="A811" s="9" t="str">
        <f>HYPERLINK("PDF\FOIA-FWS-2020-00724-0000810.pdf","FOIA-FWS-2020-00724-0000810")</f>
        <v>FOIA-FWS-2020-00724-0000810</v>
      </c>
      <c r="B811" s="3" t="s">
        <v>1508</v>
      </c>
      <c r="C811" s="3" t="s">
        <v>3</v>
      </c>
      <c r="D811" s="3" t="s">
        <v>33</v>
      </c>
      <c r="E811" s="3" t="s">
        <v>1510</v>
      </c>
      <c r="F811" s="4">
        <v>43438.847916666666</v>
      </c>
      <c r="G811" s="3" t="s">
        <v>1392</v>
      </c>
      <c r="H811" s="3" t="s">
        <v>1509</v>
      </c>
      <c r="I811" s="3" t="s">
        <v>7043</v>
      </c>
      <c r="J811" s="3"/>
      <c r="K811" s="3"/>
      <c r="L811" s="5"/>
    </row>
    <row r="812" spans="1:12" ht="28.8" x14ac:dyDescent="0.55000000000000004">
      <c r="A812" s="9" t="str">
        <f>HYPERLINK("PDF\FOIA-FWS-2020-00724-0000811.pdf","FOIA-FWS-2020-00724-0000811")</f>
        <v>FOIA-FWS-2020-00724-0000811</v>
      </c>
      <c r="B812" s="3" t="s">
        <v>1508</v>
      </c>
      <c r="C812" s="3" t="s">
        <v>234</v>
      </c>
      <c r="D812" s="3" t="s">
        <v>33</v>
      </c>
      <c r="E812" s="3" t="s">
        <v>1309</v>
      </c>
      <c r="F812" s="4">
        <v>43438.847916666666</v>
      </c>
      <c r="G812" s="3"/>
      <c r="H812" s="3"/>
      <c r="I812" s="3" t="s">
        <v>7043</v>
      </c>
      <c r="J812" s="3"/>
      <c r="K812" s="3"/>
      <c r="L812" s="5"/>
    </row>
    <row r="813" spans="1:12" ht="28.8" x14ac:dyDescent="0.55000000000000004">
      <c r="A813" s="9" t="str">
        <f>HYPERLINK("PDF\FOIA-FWS-2020-00724-0000812.pdf","FOIA-FWS-2020-00724-0000812")</f>
        <v>FOIA-FWS-2020-00724-0000812</v>
      </c>
      <c r="B813" s="3" t="s">
        <v>1508</v>
      </c>
      <c r="C813" s="3" t="s">
        <v>234</v>
      </c>
      <c r="D813" s="3" t="s">
        <v>33</v>
      </c>
      <c r="E813" s="3" t="s">
        <v>1511</v>
      </c>
      <c r="F813" s="4">
        <v>43438.847916666666</v>
      </c>
      <c r="G813" s="3"/>
      <c r="H813" s="3"/>
      <c r="I813" s="3" t="s">
        <v>7043</v>
      </c>
      <c r="J813" s="3"/>
      <c r="K813" s="3"/>
      <c r="L813" s="5"/>
    </row>
    <row r="814" spans="1:12" ht="28.8" x14ac:dyDescent="0.55000000000000004">
      <c r="A814" s="9" t="str">
        <f>HYPERLINK("PDF\FOIA-FWS-2020-00724-0000813.pdf","FOIA-FWS-2020-00724-0000813")</f>
        <v>FOIA-FWS-2020-00724-0000813</v>
      </c>
      <c r="B814" s="3" t="s">
        <v>1512</v>
      </c>
      <c r="C814" s="3" t="s">
        <v>3</v>
      </c>
      <c r="D814" s="3" t="s">
        <v>33</v>
      </c>
      <c r="E814" s="3" t="s">
        <v>1513</v>
      </c>
      <c r="F814" s="4">
        <v>43439.72152777778</v>
      </c>
      <c r="G814" s="3"/>
      <c r="H814" s="3"/>
      <c r="I814" s="3" t="s">
        <v>7043</v>
      </c>
      <c r="J814" s="3"/>
      <c r="K814" s="3"/>
      <c r="L814" s="5"/>
    </row>
    <row r="815" spans="1:12" ht="28.8" x14ac:dyDescent="0.55000000000000004">
      <c r="A815" s="9" t="str">
        <f>HYPERLINK("PDF\FOIA-FWS-2020-00724-0000814.pdf","FOIA-FWS-2020-00724-0000814")</f>
        <v>FOIA-FWS-2020-00724-0000814</v>
      </c>
      <c r="B815" s="3" t="s">
        <v>1512</v>
      </c>
      <c r="C815" s="3" t="s">
        <v>234</v>
      </c>
      <c r="D815" s="3" t="s">
        <v>33</v>
      </c>
      <c r="E815" s="3" t="s">
        <v>1514</v>
      </c>
      <c r="F815" s="4">
        <v>43439.72152777778</v>
      </c>
      <c r="G815" s="3"/>
      <c r="H815" s="3"/>
      <c r="I815" s="3" t="s">
        <v>7043</v>
      </c>
      <c r="J815" s="3"/>
      <c r="K815" s="3"/>
      <c r="L815" s="5"/>
    </row>
    <row r="816" spans="1:12" ht="28.8" x14ac:dyDescent="0.55000000000000004">
      <c r="A816" s="9" t="str">
        <f>HYPERLINK("PDF\FOIA-FWS-2020-00724-0000815.pdf","FOIA-FWS-2020-00724-0000815")</f>
        <v>FOIA-FWS-2020-00724-0000815</v>
      </c>
      <c r="B816" s="3" t="s">
        <v>1515</v>
      </c>
      <c r="C816" s="3" t="s">
        <v>3</v>
      </c>
      <c r="D816" s="3" t="s">
        <v>33</v>
      </c>
      <c r="E816" s="3" t="s">
        <v>1517</v>
      </c>
      <c r="F816" s="4">
        <v>43439.84652777778</v>
      </c>
      <c r="G816" s="3" t="s">
        <v>1516</v>
      </c>
      <c r="H816" s="3" t="s">
        <v>955</v>
      </c>
      <c r="I816" s="3" t="s">
        <v>7043</v>
      </c>
      <c r="J816" s="3"/>
      <c r="K816" s="3"/>
      <c r="L816" s="5"/>
    </row>
    <row r="817" spans="1:12" ht="28.8" x14ac:dyDescent="0.55000000000000004">
      <c r="A817" s="9" t="str">
        <f>HYPERLINK("PDF\FOIA-FWS-2020-00724-0000816.pdf","FOIA-FWS-2020-00724-0000816")</f>
        <v>FOIA-FWS-2020-00724-0000816</v>
      </c>
      <c r="B817" s="3" t="s">
        <v>1515</v>
      </c>
      <c r="C817" s="3" t="s">
        <v>234</v>
      </c>
      <c r="D817" s="3" t="s">
        <v>4</v>
      </c>
      <c r="E817" s="3" t="s">
        <v>1518</v>
      </c>
      <c r="F817" s="4">
        <v>43439.84652777778</v>
      </c>
      <c r="G817" s="3"/>
      <c r="H817" s="3"/>
      <c r="I817" s="3" t="s">
        <v>7043</v>
      </c>
      <c r="J817" s="3"/>
      <c r="K817" s="3"/>
      <c r="L817" s="5"/>
    </row>
    <row r="818" spans="1:12" ht="28.8" x14ac:dyDescent="0.55000000000000004">
      <c r="A818" s="9" t="str">
        <f>HYPERLINK("PDF\FOIA-FWS-2020-00724-0000817.pdf","FOIA-FWS-2020-00724-0000817")</f>
        <v>FOIA-FWS-2020-00724-0000817</v>
      </c>
      <c r="B818" s="3" t="s">
        <v>1519</v>
      </c>
      <c r="C818" s="3" t="s">
        <v>3</v>
      </c>
      <c r="D818" s="3" t="s">
        <v>33</v>
      </c>
      <c r="E818" s="3" t="s">
        <v>1521</v>
      </c>
      <c r="F818" s="4">
        <v>43440.495138888888</v>
      </c>
      <c r="G818" s="3" t="s">
        <v>1520</v>
      </c>
      <c r="H818" s="3" t="s">
        <v>1392</v>
      </c>
      <c r="I818" s="3" t="s">
        <v>7043</v>
      </c>
      <c r="J818" s="3"/>
      <c r="K818" s="3"/>
      <c r="L818" s="5"/>
    </row>
    <row r="819" spans="1:12" ht="28.8" x14ac:dyDescent="0.55000000000000004">
      <c r="A819" s="9" t="str">
        <f>HYPERLINK("PDF\FOIA-FWS-2020-00724-0000818.pdf","FOIA-FWS-2020-00724-0000818")</f>
        <v>FOIA-FWS-2020-00724-0000818</v>
      </c>
      <c r="B819" s="3" t="s">
        <v>1519</v>
      </c>
      <c r="C819" s="3" t="s">
        <v>234</v>
      </c>
      <c r="D819" s="3" t="s">
        <v>4</v>
      </c>
      <c r="E819" s="3" t="s">
        <v>1522</v>
      </c>
      <c r="F819" s="4">
        <v>43440.495138888888</v>
      </c>
      <c r="G819" s="3"/>
      <c r="H819" s="3"/>
      <c r="I819" s="3" t="s">
        <v>7043</v>
      </c>
      <c r="J819" s="3"/>
      <c r="K819" s="3"/>
      <c r="L819" s="5"/>
    </row>
    <row r="820" spans="1:12" ht="28.8" x14ac:dyDescent="0.55000000000000004">
      <c r="A820" s="9" t="str">
        <f>HYPERLINK("PDF\FOIA-FWS-2020-00724-0000819.pdf","FOIA-FWS-2020-00724-0000819")</f>
        <v>FOIA-FWS-2020-00724-0000819</v>
      </c>
      <c r="B820" s="3" t="s">
        <v>1519</v>
      </c>
      <c r="C820" s="3" t="s">
        <v>234</v>
      </c>
      <c r="D820" s="3" t="s">
        <v>4</v>
      </c>
      <c r="E820" s="3" t="s">
        <v>1523</v>
      </c>
      <c r="F820" s="4">
        <v>43440.495138888888</v>
      </c>
      <c r="G820" s="3"/>
      <c r="H820" s="3"/>
      <c r="I820" s="3" t="s">
        <v>7043</v>
      </c>
      <c r="J820" s="3"/>
      <c r="K820" s="3"/>
      <c r="L820" s="5"/>
    </row>
    <row r="821" spans="1:12" ht="28.8" x14ac:dyDescent="0.55000000000000004">
      <c r="A821" s="9" t="str">
        <f>HYPERLINK("PDF\FOIA-FWS-2020-00724-0000820.pdf","FOIA-FWS-2020-00724-0000820")</f>
        <v>FOIA-FWS-2020-00724-0000820</v>
      </c>
      <c r="B821" s="3" t="s">
        <v>1519</v>
      </c>
      <c r="C821" s="3" t="s">
        <v>234</v>
      </c>
      <c r="D821" s="3" t="s">
        <v>4</v>
      </c>
      <c r="E821" s="3" t="s">
        <v>1524</v>
      </c>
      <c r="F821" s="4">
        <v>43440.495138888888</v>
      </c>
      <c r="G821" s="3"/>
      <c r="H821" s="3"/>
      <c r="I821" s="3" t="s">
        <v>7043</v>
      </c>
      <c r="J821" s="3"/>
      <c r="K821" s="3"/>
      <c r="L821" s="5"/>
    </row>
    <row r="822" spans="1:12" ht="57.6" x14ac:dyDescent="0.55000000000000004">
      <c r="A822" s="9" t="str">
        <f>HYPERLINK("PDF\FOIA-FWS-2020-00724-0000821.pdf","FOIA-FWS-2020-00724-0000821")</f>
        <v>FOIA-FWS-2020-00724-0000821</v>
      </c>
      <c r="B822" s="3" t="s">
        <v>1525</v>
      </c>
      <c r="C822" s="3" t="s">
        <v>3</v>
      </c>
      <c r="D822" s="3" t="s">
        <v>33</v>
      </c>
      <c r="E822" s="3" t="s">
        <v>1528</v>
      </c>
      <c r="F822" s="4">
        <v>43440.512499999997</v>
      </c>
      <c r="G822" s="3" t="s">
        <v>1526</v>
      </c>
      <c r="H822" s="3" t="s">
        <v>1527</v>
      </c>
      <c r="I822" s="3" t="s">
        <v>7043</v>
      </c>
      <c r="J822" s="3"/>
      <c r="K822" s="3"/>
      <c r="L822" s="5"/>
    </row>
    <row r="823" spans="1:12" ht="28.8" x14ac:dyDescent="0.55000000000000004">
      <c r="A823" s="9" t="str">
        <f>HYPERLINK("PDF\FOIA-FWS-2020-00724-0000822.pdf","FOIA-FWS-2020-00724-0000822")</f>
        <v>FOIA-FWS-2020-00724-0000822</v>
      </c>
      <c r="B823" s="3" t="s">
        <v>1529</v>
      </c>
      <c r="C823" s="3" t="s">
        <v>3</v>
      </c>
      <c r="D823" s="3" t="s">
        <v>33</v>
      </c>
      <c r="E823" s="3" t="s">
        <v>1530</v>
      </c>
      <c r="F823" s="4">
        <v>43440.525694444441</v>
      </c>
      <c r="G823" s="3" t="s">
        <v>985</v>
      </c>
      <c r="H823" s="3" t="s">
        <v>1392</v>
      </c>
      <c r="I823" s="3" t="s">
        <v>7043</v>
      </c>
      <c r="J823" s="3"/>
      <c r="K823" s="3"/>
      <c r="L823" s="5"/>
    </row>
    <row r="824" spans="1:12" ht="28.8" x14ac:dyDescent="0.55000000000000004">
      <c r="A824" s="9" t="str">
        <f>HYPERLINK("PDF\FOIA-FWS-2020-00724-0000823.pdf","FOIA-FWS-2020-00724-0000823")</f>
        <v>FOIA-FWS-2020-00724-0000823</v>
      </c>
      <c r="B824" s="3" t="s">
        <v>1531</v>
      </c>
      <c r="C824" s="3" t="s">
        <v>3</v>
      </c>
      <c r="D824" s="3" t="s">
        <v>33</v>
      </c>
      <c r="E824" s="3" t="s">
        <v>1532</v>
      </c>
      <c r="F824" s="4">
        <v>43440.574305555558</v>
      </c>
      <c r="G824" s="3" t="s">
        <v>1069</v>
      </c>
      <c r="H824" s="3" t="s">
        <v>1070</v>
      </c>
      <c r="I824" s="3" t="s">
        <v>7043</v>
      </c>
      <c r="J824" s="3"/>
      <c r="K824" s="3"/>
      <c r="L824" s="5"/>
    </row>
    <row r="825" spans="1:12" ht="28.8" x14ac:dyDescent="0.55000000000000004">
      <c r="A825" s="9" t="str">
        <f>HYPERLINK("PDF\FOIA-FWS-2020-00724-0000824.pdf","FOIA-FWS-2020-00724-0000824")</f>
        <v>FOIA-FWS-2020-00724-0000824</v>
      </c>
      <c r="B825" s="3" t="s">
        <v>1531</v>
      </c>
      <c r="C825" s="3" t="s">
        <v>234</v>
      </c>
      <c r="D825" s="3" t="s">
        <v>160</v>
      </c>
      <c r="E825" s="3" t="s">
        <v>1533</v>
      </c>
      <c r="F825" s="4">
        <v>43440.574305555558</v>
      </c>
      <c r="G825" s="3"/>
      <c r="H825" s="3"/>
      <c r="I825" s="3" t="s">
        <v>7043</v>
      </c>
      <c r="J825" s="3"/>
      <c r="K825" s="3"/>
      <c r="L825" s="5" t="str">
        <f>HYPERLINK("NATIVE_FILES\FOIA-FWS-2020-00724-0000824.xlsx","FOIA-FWS-2020-00724-0000824.xlsx")</f>
        <v>FOIA-FWS-2020-00724-0000824.xlsx</v>
      </c>
    </row>
    <row r="826" spans="1:12" ht="57.6" x14ac:dyDescent="0.55000000000000004">
      <c r="A826" s="9" t="str">
        <f>HYPERLINK("PDF\FOIA-FWS-2020-00724-0000825.pdf","FOIA-FWS-2020-00724-0000825")</f>
        <v>FOIA-FWS-2020-00724-0000825</v>
      </c>
      <c r="B826" s="3" t="s">
        <v>1534</v>
      </c>
      <c r="C826" s="3" t="s">
        <v>3</v>
      </c>
      <c r="D826" s="3" t="s">
        <v>33</v>
      </c>
      <c r="E826" s="3" t="s">
        <v>1536</v>
      </c>
      <c r="F826" s="4">
        <v>43440.637499999997</v>
      </c>
      <c r="G826" s="3" t="s">
        <v>955</v>
      </c>
      <c r="H826" s="3" t="s">
        <v>1535</v>
      </c>
      <c r="I826" s="3" t="s">
        <v>7043</v>
      </c>
      <c r="J826" s="3"/>
      <c r="K826" s="3"/>
      <c r="L826" s="5"/>
    </row>
    <row r="827" spans="1:12" ht="28.8" x14ac:dyDescent="0.55000000000000004">
      <c r="A827" s="9" t="str">
        <f>HYPERLINK("PDF\FOIA-FWS-2020-00724-0000826.pdf","FOIA-FWS-2020-00724-0000826")</f>
        <v>FOIA-FWS-2020-00724-0000826</v>
      </c>
      <c r="B827" s="3" t="s">
        <v>1537</v>
      </c>
      <c r="C827" s="3" t="s">
        <v>3</v>
      </c>
      <c r="D827" s="3" t="s">
        <v>33</v>
      </c>
      <c r="E827" s="3" t="s">
        <v>1538</v>
      </c>
      <c r="F827" s="4">
        <v>43440.701388888891</v>
      </c>
      <c r="G827" s="3" t="s">
        <v>945</v>
      </c>
      <c r="H827" s="3" t="s">
        <v>963</v>
      </c>
      <c r="I827" s="3" t="s">
        <v>7043</v>
      </c>
      <c r="J827" s="3"/>
      <c r="K827" s="3"/>
      <c r="L827" s="5"/>
    </row>
    <row r="828" spans="1:12" ht="28.8" x14ac:dyDescent="0.55000000000000004">
      <c r="A828" s="9" t="str">
        <f>HYPERLINK("PDF\FOIA-FWS-2020-00724-0000827.pdf","FOIA-FWS-2020-00724-0000827")</f>
        <v>FOIA-FWS-2020-00724-0000827</v>
      </c>
      <c r="B828" s="3" t="s">
        <v>1539</v>
      </c>
      <c r="C828" s="3" t="s">
        <v>3</v>
      </c>
      <c r="D828" s="3" t="s">
        <v>33</v>
      </c>
      <c r="E828" s="3" t="s">
        <v>1540</v>
      </c>
      <c r="F828" s="4">
        <v>43440.861805555556</v>
      </c>
      <c r="G828" s="3" t="s">
        <v>1494</v>
      </c>
      <c r="H828" s="3" t="s">
        <v>1392</v>
      </c>
      <c r="I828" s="3" t="s">
        <v>7043</v>
      </c>
      <c r="J828" s="3"/>
      <c r="K828" s="3"/>
      <c r="L828" s="5"/>
    </row>
    <row r="829" spans="1:12" ht="28.8" x14ac:dyDescent="0.55000000000000004">
      <c r="A829" s="9" t="str">
        <f>HYPERLINK("PDF\FOIA-FWS-2020-00724-0000828.pdf","FOIA-FWS-2020-00724-0000828")</f>
        <v>FOIA-FWS-2020-00724-0000828</v>
      </c>
      <c r="B829" s="3" t="s">
        <v>1541</v>
      </c>
      <c r="C829" s="3" t="s">
        <v>3</v>
      </c>
      <c r="D829" s="3" t="s">
        <v>33</v>
      </c>
      <c r="E829" s="3" t="s">
        <v>1542</v>
      </c>
      <c r="F829" s="4">
        <v>43440.876388888886</v>
      </c>
      <c r="G829" s="3" t="s">
        <v>1069</v>
      </c>
      <c r="H829" s="3" t="s">
        <v>1070</v>
      </c>
      <c r="I829" s="3" t="s">
        <v>7043</v>
      </c>
      <c r="J829" s="3"/>
      <c r="K829" s="3"/>
      <c r="L829" s="5"/>
    </row>
    <row r="830" spans="1:12" ht="28.8" x14ac:dyDescent="0.55000000000000004">
      <c r="A830" s="9" t="str">
        <f>HYPERLINK("PDF\FOIA-FWS-2020-00724-0000829.pdf","FOIA-FWS-2020-00724-0000829")</f>
        <v>FOIA-FWS-2020-00724-0000829</v>
      </c>
      <c r="B830" s="3" t="s">
        <v>1541</v>
      </c>
      <c r="C830" s="3" t="s">
        <v>234</v>
      </c>
      <c r="D830" s="3" t="s">
        <v>160</v>
      </c>
      <c r="E830" s="3" t="s">
        <v>1543</v>
      </c>
      <c r="F830" s="4">
        <v>43440.876388888886</v>
      </c>
      <c r="G830" s="3"/>
      <c r="H830" s="3"/>
      <c r="I830" s="3" t="s">
        <v>7043</v>
      </c>
      <c r="J830" s="3"/>
      <c r="K830" s="3"/>
      <c r="L830" s="5" t="str">
        <f>HYPERLINK("NATIVE_FILES\FOIA-FWS-2020-00724-0000829.xlsx","FOIA-FWS-2020-00724-0000829.xlsx")</f>
        <v>FOIA-FWS-2020-00724-0000829.xlsx</v>
      </c>
    </row>
    <row r="831" spans="1:12" ht="28.8" x14ac:dyDescent="0.55000000000000004">
      <c r="A831" s="9" t="str">
        <f>HYPERLINK("PDF\FOIA-FWS-2020-00724-0000830.pdf","FOIA-FWS-2020-00724-0000830")</f>
        <v>FOIA-FWS-2020-00724-0000830</v>
      </c>
      <c r="B831" s="3" t="s">
        <v>1544</v>
      </c>
      <c r="C831" s="3" t="s">
        <v>3</v>
      </c>
      <c r="D831" s="3" t="s">
        <v>33</v>
      </c>
      <c r="E831" s="3" t="s">
        <v>1545</v>
      </c>
      <c r="F831" s="4">
        <v>43441</v>
      </c>
      <c r="G831" s="3"/>
      <c r="H831" s="3"/>
      <c r="I831" s="3" t="s">
        <v>7043</v>
      </c>
      <c r="J831" s="3"/>
      <c r="K831" s="3"/>
      <c r="L831" s="5"/>
    </row>
    <row r="832" spans="1:12" ht="28.8" x14ac:dyDescent="0.55000000000000004">
      <c r="A832" s="9" t="str">
        <f>HYPERLINK("PDF\FOIA-FWS-2020-00724-0000831.pdf","FOIA-FWS-2020-00724-0000831")</f>
        <v>FOIA-FWS-2020-00724-0000831</v>
      </c>
      <c r="B832" s="3" t="s">
        <v>1546</v>
      </c>
      <c r="C832" s="3" t="s">
        <v>3</v>
      </c>
      <c r="D832" s="3" t="s">
        <v>33</v>
      </c>
      <c r="E832" s="3" t="s">
        <v>1547</v>
      </c>
      <c r="F832" s="4">
        <v>43441</v>
      </c>
      <c r="G832" s="3"/>
      <c r="H832" s="3"/>
      <c r="I832" s="3" t="s">
        <v>7043</v>
      </c>
      <c r="J832" s="3"/>
      <c r="K832" s="3"/>
      <c r="L832" s="5"/>
    </row>
    <row r="833" spans="1:12" ht="43.2" x14ac:dyDescent="0.55000000000000004">
      <c r="A833" s="9" t="str">
        <f>HYPERLINK("PDF\FOIA-FWS-2020-00724-0000832.pdf","FOIA-FWS-2020-00724-0000832")</f>
        <v>FOIA-FWS-2020-00724-0000832</v>
      </c>
      <c r="B833" s="3" t="s">
        <v>1548</v>
      </c>
      <c r="C833" s="3" t="s">
        <v>3</v>
      </c>
      <c r="D833" s="3" t="s">
        <v>33</v>
      </c>
      <c r="E833" s="3" t="s">
        <v>1549</v>
      </c>
      <c r="F833" s="4">
        <v>43441</v>
      </c>
      <c r="G833" s="3"/>
      <c r="H833" s="3"/>
      <c r="I833" s="3" t="s">
        <v>7043</v>
      </c>
      <c r="J833" s="3"/>
      <c r="K833" s="3"/>
      <c r="L833" s="5"/>
    </row>
    <row r="834" spans="1:12" ht="28.8" x14ac:dyDescent="0.55000000000000004">
      <c r="A834" s="9" t="str">
        <f>HYPERLINK("PDF\FOIA-FWS-2020-00724-0000833.pdf","FOIA-FWS-2020-00724-0000833")</f>
        <v>FOIA-FWS-2020-00724-0000833</v>
      </c>
      <c r="B834" s="3" t="s">
        <v>1550</v>
      </c>
      <c r="C834" s="3" t="s">
        <v>3</v>
      </c>
      <c r="D834" s="3" t="s">
        <v>33</v>
      </c>
      <c r="E834" s="3" t="s">
        <v>1540</v>
      </c>
      <c r="F834" s="4">
        <v>43441.348611111112</v>
      </c>
      <c r="G834" s="3" t="s">
        <v>1551</v>
      </c>
      <c r="H834" s="3" t="s">
        <v>1392</v>
      </c>
      <c r="I834" s="3" t="s">
        <v>7043</v>
      </c>
      <c r="J834" s="3"/>
      <c r="K834" s="3"/>
      <c r="L834" s="5"/>
    </row>
    <row r="835" spans="1:12" ht="28.8" x14ac:dyDescent="0.55000000000000004">
      <c r="A835" s="9" t="str">
        <f>HYPERLINK("PDF\FOIA-FWS-2020-00724-0000834.pdf","FOIA-FWS-2020-00724-0000834")</f>
        <v>FOIA-FWS-2020-00724-0000834</v>
      </c>
      <c r="B835" s="3" t="s">
        <v>1552</v>
      </c>
      <c r="C835" s="3" t="s">
        <v>3</v>
      </c>
      <c r="D835" s="3" t="s">
        <v>33</v>
      </c>
      <c r="E835" s="3" t="s">
        <v>1555</v>
      </c>
      <c r="F835" s="4">
        <v>43441.539583333331</v>
      </c>
      <c r="G835" s="3" t="s">
        <v>1553</v>
      </c>
      <c r="H835" s="3" t="s">
        <v>1554</v>
      </c>
      <c r="I835" s="3" t="s">
        <v>7043</v>
      </c>
      <c r="J835" s="3"/>
      <c r="K835" s="3"/>
      <c r="L835" s="5"/>
    </row>
    <row r="836" spans="1:12" ht="28.8" x14ac:dyDescent="0.55000000000000004">
      <c r="A836" s="9" t="str">
        <f>HYPERLINK("PDF\FOIA-FWS-2020-00724-0000835.pdf","FOIA-FWS-2020-00724-0000835")</f>
        <v>FOIA-FWS-2020-00724-0000835</v>
      </c>
      <c r="B836" s="3" t="s">
        <v>1552</v>
      </c>
      <c r="C836" s="3" t="s">
        <v>234</v>
      </c>
      <c r="D836" s="3" t="s">
        <v>4</v>
      </c>
      <c r="E836" s="3" t="s">
        <v>1556</v>
      </c>
      <c r="F836" s="4">
        <v>43441.539583333331</v>
      </c>
      <c r="G836" s="3"/>
      <c r="H836" s="3"/>
      <c r="I836" s="3" t="s">
        <v>7043</v>
      </c>
      <c r="J836" s="3"/>
      <c r="K836" s="3"/>
      <c r="L836" s="5"/>
    </row>
    <row r="837" spans="1:12" ht="28.8" x14ac:dyDescent="0.55000000000000004">
      <c r="A837" s="9" t="str">
        <f>HYPERLINK("PDF\FOIA-FWS-2020-00724-0000836.pdf","FOIA-FWS-2020-00724-0000836")</f>
        <v>FOIA-FWS-2020-00724-0000836</v>
      </c>
      <c r="B837" s="3" t="s">
        <v>1557</v>
      </c>
      <c r="C837" s="3" t="s">
        <v>3</v>
      </c>
      <c r="D837" s="3" t="s">
        <v>33</v>
      </c>
      <c r="E837" s="3" t="s">
        <v>1558</v>
      </c>
      <c r="F837" s="4">
        <v>43441.672222222223</v>
      </c>
      <c r="G837" s="3" t="s">
        <v>1392</v>
      </c>
      <c r="H837" s="3" t="s">
        <v>1494</v>
      </c>
      <c r="I837" s="3" t="s">
        <v>7043</v>
      </c>
      <c r="J837" s="3"/>
      <c r="K837" s="3"/>
      <c r="L837" s="5"/>
    </row>
    <row r="838" spans="1:12" ht="28.8" x14ac:dyDescent="0.55000000000000004">
      <c r="A838" s="9" t="str">
        <f>HYPERLINK("PDF\FOIA-FWS-2020-00724-0000837.pdf","FOIA-FWS-2020-00724-0000837")</f>
        <v>FOIA-FWS-2020-00724-0000837</v>
      </c>
      <c r="B838" s="3" t="s">
        <v>1559</v>
      </c>
      <c r="C838" s="3" t="s">
        <v>3</v>
      </c>
      <c r="D838" s="3" t="s">
        <v>33</v>
      </c>
      <c r="E838" s="3" t="s">
        <v>1538</v>
      </c>
      <c r="F838" s="4">
        <v>43441.796527777777</v>
      </c>
      <c r="G838" s="3" t="s">
        <v>963</v>
      </c>
      <c r="H838" s="3" t="s">
        <v>1392</v>
      </c>
      <c r="I838" s="3" t="s">
        <v>7043</v>
      </c>
      <c r="J838" s="3"/>
      <c r="K838" s="3"/>
      <c r="L838" s="5"/>
    </row>
    <row r="839" spans="1:12" ht="28.8" x14ac:dyDescent="0.55000000000000004">
      <c r="A839" s="9" t="str">
        <f>HYPERLINK("PDF\FOIA-FWS-2020-00724-0000838.pdf","FOIA-FWS-2020-00724-0000838")</f>
        <v>FOIA-FWS-2020-00724-0000838</v>
      </c>
      <c r="B839" s="3" t="s">
        <v>1560</v>
      </c>
      <c r="C839" s="3" t="s">
        <v>3</v>
      </c>
      <c r="D839" s="3" t="s">
        <v>4</v>
      </c>
      <c r="E839" s="3" t="s">
        <v>1561</v>
      </c>
      <c r="F839" s="4">
        <v>43441.85</v>
      </c>
      <c r="G839" s="3" t="s">
        <v>1069</v>
      </c>
      <c r="H839" s="3" t="s">
        <v>1070</v>
      </c>
      <c r="I839" s="3" t="s">
        <v>7043</v>
      </c>
      <c r="J839" s="3"/>
      <c r="K839" s="3"/>
      <c r="L839" s="5"/>
    </row>
    <row r="840" spans="1:12" ht="28.8" x14ac:dyDescent="0.55000000000000004">
      <c r="A840" s="9" t="str">
        <f>HYPERLINK("PDF\FOIA-FWS-2020-00724-0000839.pdf","FOIA-FWS-2020-00724-0000839")</f>
        <v>FOIA-FWS-2020-00724-0000839</v>
      </c>
      <c r="B840" s="3" t="s">
        <v>1560</v>
      </c>
      <c r="C840" s="3" t="s">
        <v>234</v>
      </c>
      <c r="D840" s="3" t="s">
        <v>160</v>
      </c>
      <c r="E840" s="3" t="s">
        <v>1562</v>
      </c>
      <c r="F840" s="4">
        <v>43441.85</v>
      </c>
      <c r="G840" s="3"/>
      <c r="H840" s="3"/>
      <c r="I840" s="3" t="s">
        <v>7043</v>
      </c>
      <c r="J840" s="3"/>
      <c r="K840" s="3"/>
      <c r="L840" s="5" t="str">
        <f>HYPERLINK("NATIVE_FILES\FOIA-FWS-2020-00724-0000839.xlsx","FOIA-FWS-2020-00724-0000839.xlsx")</f>
        <v>FOIA-FWS-2020-00724-0000839.xlsx</v>
      </c>
    </row>
    <row r="841" spans="1:12" ht="28.8" x14ac:dyDescent="0.55000000000000004">
      <c r="A841" s="9" t="str">
        <f>HYPERLINK("PDF\FOIA-FWS-2020-00724-0000840.pdf","FOIA-FWS-2020-00724-0000840")</f>
        <v>FOIA-FWS-2020-00724-0000840</v>
      </c>
      <c r="B841" s="3" t="s">
        <v>1563</v>
      </c>
      <c r="C841" s="3" t="s">
        <v>3</v>
      </c>
      <c r="D841" s="3" t="s">
        <v>33</v>
      </c>
      <c r="E841" s="3" t="s">
        <v>1564</v>
      </c>
      <c r="F841" s="4">
        <v>43441.873611111114</v>
      </c>
      <c r="G841" s="3" t="s">
        <v>1069</v>
      </c>
      <c r="H841" s="3" t="s">
        <v>1070</v>
      </c>
      <c r="I841" s="3" t="s">
        <v>7043</v>
      </c>
      <c r="J841" s="3"/>
      <c r="K841" s="3"/>
      <c r="L841" s="5"/>
    </row>
    <row r="842" spans="1:12" ht="28.8" x14ac:dyDescent="0.55000000000000004">
      <c r="A842" s="9" t="str">
        <f>HYPERLINK("PDF\FOIA-FWS-2020-00724-0000841.pdf","FOIA-FWS-2020-00724-0000841")</f>
        <v>FOIA-FWS-2020-00724-0000841</v>
      </c>
      <c r="B842" s="3" t="s">
        <v>1563</v>
      </c>
      <c r="C842" s="3" t="s">
        <v>234</v>
      </c>
      <c r="D842" s="3" t="s">
        <v>160</v>
      </c>
      <c r="E842" s="3" t="s">
        <v>1565</v>
      </c>
      <c r="F842" s="4">
        <v>43441.873611111114</v>
      </c>
      <c r="G842" s="3"/>
      <c r="H842" s="3"/>
      <c r="I842" s="3" t="s">
        <v>7043</v>
      </c>
      <c r="J842" s="3"/>
      <c r="K842" s="3"/>
      <c r="L842" s="5" t="str">
        <f>HYPERLINK("NATIVE_FILES\FOIA-FWS-2020-00724-0000841.xlsx","FOIA-FWS-2020-00724-0000841.xlsx")</f>
        <v>FOIA-FWS-2020-00724-0000841.xlsx</v>
      </c>
    </row>
    <row r="843" spans="1:12" ht="43.2" x14ac:dyDescent="0.55000000000000004">
      <c r="A843" s="9" t="str">
        <f>HYPERLINK("PDF\FOIA-FWS-2020-00724-0000842.pdf","FOIA-FWS-2020-00724-0000842")</f>
        <v>FOIA-FWS-2020-00724-0000842</v>
      </c>
      <c r="B843" s="3" t="s">
        <v>1566</v>
      </c>
      <c r="C843" s="3" t="s">
        <v>3</v>
      </c>
      <c r="D843" s="3" t="s">
        <v>33</v>
      </c>
      <c r="E843" s="3" t="s">
        <v>1568</v>
      </c>
      <c r="F843" s="4">
        <v>43442.530555555553</v>
      </c>
      <c r="G843" s="3" t="s">
        <v>945</v>
      </c>
      <c r="H843" s="3" t="s">
        <v>1567</v>
      </c>
      <c r="I843" s="3" t="s">
        <v>864</v>
      </c>
      <c r="J843" s="3" t="s">
        <v>7046</v>
      </c>
      <c r="K843" s="3" t="s">
        <v>7036</v>
      </c>
      <c r="L843" s="5"/>
    </row>
    <row r="844" spans="1:12" ht="129.6" x14ac:dyDescent="0.55000000000000004">
      <c r="A844" s="9" t="str">
        <f>HYPERLINK("PDF\FOIA-FWS-2020-00724-0000843.pdf","FOIA-FWS-2020-00724-0000843")</f>
        <v>FOIA-FWS-2020-00724-0000843</v>
      </c>
      <c r="B844" s="3" t="s">
        <v>1569</v>
      </c>
      <c r="C844" s="3" t="s">
        <v>3</v>
      </c>
      <c r="D844" s="3" t="s">
        <v>33</v>
      </c>
      <c r="E844" s="3" t="s">
        <v>1571</v>
      </c>
      <c r="F844" s="4">
        <v>43444.115972222222</v>
      </c>
      <c r="G844" s="3" t="s">
        <v>963</v>
      </c>
      <c r="H844" s="3" t="s">
        <v>1570</v>
      </c>
      <c r="I844" s="3" t="s">
        <v>864</v>
      </c>
      <c r="J844" s="3" t="s">
        <v>7046</v>
      </c>
      <c r="K844" s="3" t="s">
        <v>7036</v>
      </c>
      <c r="L844" s="5"/>
    </row>
    <row r="845" spans="1:12" ht="43.2" x14ac:dyDescent="0.55000000000000004">
      <c r="A845" t="s">
        <v>7021</v>
      </c>
      <c r="B845" s="3" t="s">
        <v>1569</v>
      </c>
      <c r="C845" s="3" t="s">
        <v>234</v>
      </c>
      <c r="D845" s="3" t="s">
        <v>33</v>
      </c>
      <c r="E845" s="3" t="s">
        <v>1572</v>
      </c>
      <c r="F845" s="4">
        <v>43444.115972222222</v>
      </c>
      <c r="G845" s="3"/>
      <c r="H845" s="3"/>
      <c r="I845" s="3" t="s">
        <v>7044</v>
      </c>
      <c r="J845" s="3" t="s">
        <v>7046</v>
      </c>
      <c r="K845" s="3"/>
      <c r="L845" s="5"/>
    </row>
    <row r="846" spans="1:12" ht="28.8" x14ac:dyDescent="0.55000000000000004">
      <c r="A846" s="9" t="str">
        <f>HYPERLINK("PDF\FOIA-FWS-2020-00724-0000845.pdf","FOIA-FWS-2020-00724-0000845")</f>
        <v>FOIA-FWS-2020-00724-0000845</v>
      </c>
      <c r="B846" s="3" t="s">
        <v>1569</v>
      </c>
      <c r="C846" s="3" t="s">
        <v>234</v>
      </c>
      <c r="D846" s="3" t="s">
        <v>33</v>
      </c>
      <c r="E846" s="3" t="s">
        <v>1374</v>
      </c>
      <c r="F846" s="4">
        <v>43444.115972222222</v>
      </c>
      <c r="G846" s="3"/>
      <c r="H846" s="3"/>
      <c r="I846" s="3" t="s">
        <v>7043</v>
      </c>
      <c r="J846" s="3"/>
      <c r="K846" s="3"/>
      <c r="L846" s="5"/>
    </row>
    <row r="847" spans="1:12" ht="28.8" x14ac:dyDescent="0.55000000000000004">
      <c r="A847" s="9" t="str">
        <f>HYPERLINK("PDF\FOIA-FWS-2020-00724-0000846.pdf","FOIA-FWS-2020-00724-0000846")</f>
        <v>FOIA-FWS-2020-00724-0000846</v>
      </c>
      <c r="B847" s="3" t="s">
        <v>1569</v>
      </c>
      <c r="C847" s="3" t="s">
        <v>234</v>
      </c>
      <c r="D847" s="3" t="s">
        <v>33</v>
      </c>
      <c r="E847" s="3" t="s">
        <v>1573</v>
      </c>
      <c r="F847" s="4">
        <v>43444.115972222222</v>
      </c>
      <c r="G847" s="3"/>
      <c r="H847" s="3"/>
      <c r="I847" s="3" t="s">
        <v>7043</v>
      </c>
      <c r="J847" s="3"/>
      <c r="K847" s="3"/>
      <c r="L847" s="5"/>
    </row>
    <row r="848" spans="1:12" ht="28.8" x14ac:dyDescent="0.55000000000000004">
      <c r="A848" s="9" t="str">
        <f>HYPERLINK("PDF\FOIA-FWS-2020-00724-0000847.pdf","FOIA-FWS-2020-00724-0000847")</f>
        <v>FOIA-FWS-2020-00724-0000847</v>
      </c>
      <c r="B848" s="3" t="s">
        <v>1569</v>
      </c>
      <c r="C848" s="3" t="s">
        <v>234</v>
      </c>
      <c r="D848" s="3" t="s">
        <v>33</v>
      </c>
      <c r="E848" s="3" t="s">
        <v>1574</v>
      </c>
      <c r="F848" s="4">
        <v>43444.115972222222</v>
      </c>
      <c r="G848" s="3"/>
      <c r="H848" s="3"/>
      <c r="I848" s="3" t="s">
        <v>7043</v>
      </c>
      <c r="J848" s="3"/>
      <c r="K848" s="3"/>
      <c r="L848" s="5"/>
    </row>
    <row r="849" spans="1:12" ht="28.8" x14ac:dyDescent="0.55000000000000004">
      <c r="A849" s="9" t="str">
        <f>HYPERLINK("PDF\FOIA-FWS-2020-00724-0000848.pdf","FOIA-FWS-2020-00724-0000848")</f>
        <v>FOIA-FWS-2020-00724-0000848</v>
      </c>
      <c r="B849" s="3" t="s">
        <v>1569</v>
      </c>
      <c r="C849" s="3" t="s">
        <v>234</v>
      </c>
      <c r="D849" s="3" t="s">
        <v>33</v>
      </c>
      <c r="E849" s="3" t="s">
        <v>1575</v>
      </c>
      <c r="F849" s="4">
        <v>43444.115972222222</v>
      </c>
      <c r="G849" s="3"/>
      <c r="H849" s="3"/>
      <c r="I849" s="3" t="s">
        <v>7043</v>
      </c>
      <c r="J849" s="3"/>
      <c r="K849" s="3"/>
      <c r="L849" s="5"/>
    </row>
    <row r="850" spans="1:12" ht="28.8" x14ac:dyDescent="0.55000000000000004">
      <c r="A850" s="9" t="str">
        <f>HYPERLINK("PDF\FOIA-FWS-2020-00724-0000849.pdf","FOIA-FWS-2020-00724-0000849")</f>
        <v>FOIA-FWS-2020-00724-0000849</v>
      </c>
      <c r="B850" s="3" t="s">
        <v>1569</v>
      </c>
      <c r="C850" s="3" t="s">
        <v>234</v>
      </c>
      <c r="D850" s="3" t="s">
        <v>33</v>
      </c>
      <c r="E850" s="3" t="s">
        <v>1576</v>
      </c>
      <c r="F850" s="4">
        <v>43444.115972222222</v>
      </c>
      <c r="G850" s="3"/>
      <c r="H850" s="3"/>
      <c r="I850" s="3" t="s">
        <v>7043</v>
      </c>
      <c r="J850" s="3"/>
      <c r="K850" s="3"/>
      <c r="L850" s="5"/>
    </row>
    <row r="851" spans="1:12" ht="28.8" x14ac:dyDescent="0.55000000000000004">
      <c r="A851" s="9" t="str">
        <f>HYPERLINK("PDF\FOIA-FWS-2020-00724-0000850.pdf","FOIA-FWS-2020-00724-0000850")</f>
        <v>FOIA-FWS-2020-00724-0000850</v>
      </c>
      <c r="B851" s="3" t="s">
        <v>1569</v>
      </c>
      <c r="C851" s="3" t="s">
        <v>234</v>
      </c>
      <c r="D851" s="3" t="s">
        <v>33</v>
      </c>
      <c r="E851" s="3" t="s">
        <v>1577</v>
      </c>
      <c r="F851" s="4">
        <v>43444.115972222222</v>
      </c>
      <c r="G851" s="3"/>
      <c r="H851" s="3"/>
      <c r="I851" s="3" t="s">
        <v>7043</v>
      </c>
      <c r="J851" s="3"/>
      <c r="K851" s="3"/>
      <c r="L851" s="5"/>
    </row>
    <row r="852" spans="1:12" ht="28.8" x14ac:dyDescent="0.55000000000000004">
      <c r="A852" s="9" t="str">
        <f>HYPERLINK("PDF\FOIA-FWS-2020-00724-0000851.pdf","FOIA-FWS-2020-00724-0000851")</f>
        <v>FOIA-FWS-2020-00724-0000851</v>
      </c>
      <c r="B852" s="3" t="s">
        <v>1569</v>
      </c>
      <c r="C852" s="3" t="s">
        <v>234</v>
      </c>
      <c r="D852" s="3" t="s">
        <v>33</v>
      </c>
      <c r="E852" s="3" t="s">
        <v>1578</v>
      </c>
      <c r="F852" s="4">
        <v>43444.115972222222</v>
      </c>
      <c r="G852" s="3"/>
      <c r="H852" s="3"/>
      <c r="I852" s="3" t="s">
        <v>7043</v>
      </c>
      <c r="J852" s="3"/>
      <c r="K852" s="3"/>
      <c r="L852" s="5"/>
    </row>
    <row r="853" spans="1:12" ht="28.8" x14ac:dyDescent="0.55000000000000004">
      <c r="A853" s="9" t="str">
        <f>HYPERLINK("PDF\FOIA-FWS-2020-00724-0000852.pdf","FOIA-FWS-2020-00724-0000852")</f>
        <v>FOIA-FWS-2020-00724-0000852</v>
      </c>
      <c r="B853" s="3" t="s">
        <v>1569</v>
      </c>
      <c r="C853" s="3" t="s">
        <v>234</v>
      </c>
      <c r="D853" s="3" t="s">
        <v>33</v>
      </c>
      <c r="E853" s="3" t="s">
        <v>1579</v>
      </c>
      <c r="F853" s="4">
        <v>43444.115972222222</v>
      </c>
      <c r="G853" s="3"/>
      <c r="H853" s="3"/>
      <c r="I853" s="3" t="s">
        <v>7043</v>
      </c>
      <c r="J853" s="3"/>
      <c r="K853" s="3"/>
      <c r="L853" s="5"/>
    </row>
    <row r="854" spans="1:12" ht="28.8" x14ac:dyDescent="0.55000000000000004">
      <c r="A854" s="9" t="str">
        <f>HYPERLINK("PDF\FOIA-FWS-2020-00724-0000853.pdf","FOIA-FWS-2020-00724-0000853")</f>
        <v>FOIA-FWS-2020-00724-0000853</v>
      </c>
      <c r="B854" s="3" t="s">
        <v>1580</v>
      </c>
      <c r="C854" s="3" t="s">
        <v>3</v>
      </c>
      <c r="D854" s="3" t="s">
        <v>33</v>
      </c>
      <c r="E854" s="3" t="s">
        <v>1582</v>
      </c>
      <c r="F854" s="4">
        <v>43444.519444444442</v>
      </c>
      <c r="G854" s="3" t="s">
        <v>1581</v>
      </c>
      <c r="H854" s="3" t="s">
        <v>1073</v>
      </c>
      <c r="I854" s="3" t="s">
        <v>7043</v>
      </c>
      <c r="J854" s="3"/>
      <c r="K854" s="3"/>
      <c r="L854" s="5"/>
    </row>
    <row r="855" spans="1:12" ht="28.8" x14ac:dyDescent="0.55000000000000004">
      <c r="A855" s="9" t="str">
        <f>HYPERLINK("PDF\FOIA-FWS-2020-00724-0000854.pdf","FOIA-FWS-2020-00724-0000854")</f>
        <v>FOIA-FWS-2020-00724-0000854</v>
      </c>
      <c r="B855" s="3" t="s">
        <v>1583</v>
      </c>
      <c r="C855" s="3" t="s">
        <v>3</v>
      </c>
      <c r="D855" s="3" t="s">
        <v>33</v>
      </c>
      <c r="E855" s="3" t="s">
        <v>1584</v>
      </c>
      <c r="F855" s="4">
        <v>43445.375</v>
      </c>
      <c r="G855" s="3" t="s">
        <v>1073</v>
      </c>
      <c r="H855" s="3" t="s">
        <v>1069</v>
      </c>
      <c r="I855" s="3" t="s">
        <v>7043</v>
      </c>
      <c r="J855" s="3"/>
      <c r="K855" s="3"/>
      <c r="L855" s="5"/>
    </row>
    <row r="856" spans="1:12" ht="28.8" x14ac:dyDescent="0.55000000000000004">
      <c r="A856" s="9" t="str">
        <f>HYPERLINK("PDF\FOIA-FWS-2020-00724-0000855.pdf","FOIA-FWS-2020-00724-0000855")</f>
        <v>FOIA-FWS-2020-00724-0000855</v>
      </c>
      <c r="B856" s="3" t="s">
        <v>1585</v>
      </c>
      <c r="C856" s="3" t="s">
        <v>3</v>
      </c>
      <c r="D856" s="3" t="s">
        <v>33</v>
      </c>
      <c r="E856" s="3" t="s">
        <v>1587</v>
      </c>
      <c r="F856" s="4">
        <v>43445.499305555553</v>
      </c>
      <c r="G856" s="3" t="s">
        <v>955</v>
      </c>
      <c r="H856" s="3" t="s">
        <v>1586</v>
      </c>
      <c r="I856" s="3" t="s">
        <v>7043</v>
      </c>
      <c r="J856" s="3"/>
      <c r="K856" s="3"/>
      <c r="L856" s="5"/>
    </row>
    <row r="857" spans="1:12" ht="28.8" x14ac:dyDescent="0.55000000000000004">
      <c r="A857" s="9" t="str">
        <f>HYPERLINK("PDF\FOIA-FWS-2020-00724-0000856.pdf","FOIA-FWS-2020-00724-0000856")</f>
        <v>FOIA-FWS-2020-00724-0000856</v>
      </c>
      <c r="B857" s="3" t="s">
        <v>1588</v>
      </c>
      <c r="C857" s="3" t="s">
        <v>3</v>
      </c>
      <c r="D857" s="3" t="s">
        <v>33</v>
      </c>
      <c r="E857" s="3" t="s">
        <v>1590</v>
      </c>
      <c r="F857" s="4">
        <v>43445.586111111108</v>
      </c>
      <c r="G857" s="3" t="s">
        <v>1392</v>
      </c>
      <c r="H857" s="3" t="s">
        <v>1589</v>
      </c>
      <c r="I857" s="3" t="s">
        <v>7043</v>
      </c>
      <c r="J857" s="3"/>
      <c r="K857" s="3"/>
      <c r="L857" s="5"/>
    </row>
    <row r="858" spans="1:12" ht="43.2" x14ac:dyDescent="0.55000000000000004">
      <c r="A858" s="9" t="str">
        <f>HYPERLINK("PDF\FOIA-FWS-2020-00724-0000857.pdf","FOIA-FWS-2020-00724-0000857")</f>
        <v>FOIA-FWS-2020-00724-0000857</v>
      </c>
      <c r="B858" s="3" t="s">
        <v>1591</v>
      </c>
      <c r="C858" s="3" t="s">
        <v>3</v>
      </c>
      <c r="D858" s="3" t="s">
        <v>33</v>
      </c>
      <c r="E858" s="3" t="s">
        <v>1592</v>
      </c>
      <c r="F858" s="4">
        <v>43445.588888888888</v>
      </c>
      <c r="G858" s="3" t="s">
        <v>985</v>
      </c>
      <c r="H858" s="3" t="s">
        <v>1392</v>
      </c>
      <c r="I858" s="3" t="s">
        <v>7043</v>
      </c>
      <c r="J858" s="3"/>
      <c r="K858" s="3"/>
      <c r="L858" s="5"/>
    </row>
    <row r="859" spans="1:12" ht="28.8" x14ac:dyDescent="0.55000000000000004">
      <c r="A859" s="9" t="str">
        <f>HYPERLINK("PDF\FOIA-FWS-2020-00724-0000858.pdf","FOIA-FWS-2020-00724-0000858")</f>
        <v>FOIA-FWS-2020-00724-0000858</v>
      </c>
      <c r="B859" s="3" t="s">
        <v>1593</v>
      </c>
      <c r="C859" s="3" t="s">
        <v>3</v>
      </c>
      <c r="D859" s="3" t="s">
        <v>33</v>
      </c>
      <c r="E859" s="3" t="s">
        <v>1594</v>
      </c>
      <c r="F859" s="4">
        <v>43445.740277777775</v>
      </c>
      <c r="G859" s="3" t="s">
        <v>1069</v>
      </c>
      <c r="H859" s="3" t="s">
        <v>1070</v>
      </c>
      <c r="I859" s="3" t="s">
        <v>7043</v>
      </c>
      <c r="J859" s="3"/>
      <c r="K859" s="3"/>
      <c r="L859" s="5"/>
    </row>
    <row r="860" spans="1:12" ht="28.8" x14ac:dyDescent="0.55000000000000004">
      <c r="A860" s="9" t="str">
        <f>HYPERLINK("PDF\FOIA-FWS-2020-00724-0000859.pdf","FOIA-FWS-2020-00724-0000859")</f>
        <v>FOIA-FWS-2020-00724-0000859</v>
      </c>
      <c r="B860" s="3" t="s">
        <v>1593</v>
      </c>
      <c r="C860" s="3" t="s">
        <v>234</v>
      </c>
      <c r="D860" s="3" t="s">
        <v>160</v>
      </c>
      <c r="E860" s="3" t="s">
        <v>1595</v>
      </c>
      <c r="F860" s="4">
        <v>43445.740277777775</v>
      </c>
      <c r="G860" s="3"/>
      <c r="H860" s="3"/>
      <c r="I860" s="3" t="s">
        <v>7043</v>
      </c>
      <c r="J860" s="3"/>
      <c r="K860" s="3"/>
      <c r="L860" s="5" t="str">
        <f>HYPERLINK("NATIVE_FILES\FOIA-FWS-2020-00724-0000859.xlsx","FOIA-FWS-2020-00724-0000859.xlsx")</f>
        <v>FOIA-FWS-2020-00724-0000859.xlsx</v>
      </c>
    </row>
    <row r="861" spans="1:12" ht="28.8" x14ac:dyDescent="0.55000000000000004">
      <c r="A861" s="9" t="str">
        <f>HYPERLINK("PDF\FOIA-FWS-2020-00724-0000860.pdf","FOIA-FWS-2020-00724-0000860")</f>
        <v>FOIA-FWS-2020-00724-0000860</v>
      </c>
      <c r="B861" s="3" t="s">
        <v>1596</v>
      </c>
      <c r="C861" s="3" t="s">
        <v>3</v>
      </c>
      <c r="D861" s="3" t="s">
        <v>33</v>
      </c>
      <c r="E861" s="3" t="s">
        <v>1597</v>
      </c>
      <c r="F861" s="4">
        <v>43446.390972222223</v>
      </c>
      <c r="G861" s="3" t="s">
        <v>985</v>
      </c>
      <c r="H861" s="3" t="s">
        <v>963</v>
      </c>
      <c r="I861" s="3" t="s">
        <v>7043</v>
      </c>
      <c r="J861" s="3"/>
      <c r="K861" s="3"/>
      <c r="L861" s="5"/>
    </row>
    <row r="862" spans="1:12" ht="28.8" x14ac:dyDescent="0.55000000000000004">
      <c r="A862" s="9" t="str">
        <f>HYPERLINK("PDF\FOIA-FWS-2020-00724-0000861.pdf","FOIA-FWS-2020-00724-0000861")</f>
        <v>FOIA-FWS-2020-00724-0000861</v>
      </c>
      <c r="B862" s="3" t="s">
        <v>1596</v>
      </c>
      <c r="C862" s="3" t="s">
        <v>234</v>
      </c>
      <c r="D862" s="3" t="s">
        <v>33</v>
      </c>
      <c r="E862" s="3" t="s">
        <v>1598</v>
      </c>
      <c r="F862" s="4">
        <v>43446.390972222223</v>
      </c>
      <c r="G862" s="3"/>
      <c r="H862" s="3"/>
      <c r="I862" s="3" t="s">
        <v>7043</v>
      </c>
      <c r="J862" s="3"/>
      <c r="K862" s="3"/>
      <c r="L862" s="5"/>
    </row>
    <row r="863" spans="1:12" ht="28.8" x14ac:dyDescent="0.55000000000000004">
      <c r="A863" s="9" t="str">
        <f>HYPERLINK("PDF\FOIA-FWS-2020-00724-0000862.pdf","FOIA-FWS-2020-00724-0000862")</f>
        <v>FOIA-FWS-2020-00724-0000862</v>
      </c>
      <c r="B863" s="3" t="s">
        <v>1599</v>
      </c>
      <c r="C863" s="3" t="s">
        <v>3</v>
      </c>
      <c r="D863" s="3" t="s">
        <v>33</v>
      </c>
      <c r="E863" s="3" t="s">
        <v>1600</v>
      </c>
      <c r="F863" s="4">
        <v>43446.736111111109</v>
      </c>
      <c r="G863" s="3" t="s">
        <v>985</v>
      </c>
      <c r="H863" s="3" t="s">
        <v>963</v>
      </c>
      <c r="I863" s="3" t="s">
        <v>7043</v>
      </c>
      <c r="J863" s="3"/>
      <c r="K863" s="3"/>
      <c r="L863" s="5"/>
    </row>
    <row r="864" spans="1:12" ht="28.8" x14ac:dyDescent="0.55000000000000004">
      <c r="A864" s="9" t="str">
        <f>HYPERLINK("PDF\FOIA-FWS-2020-00724-0000863.pdf","FOIA-FWS-2020-00724-0000863")</f>
        <v>FOIA-FWS-2020-00724-0000863</v>
      </c>
      <c r="B864" s="3" t="s">
        <v>1599</v>
      </c>
      <c r="C864" s="3" t="s">
        <v>234</v>
      </c>
      <c r="D864" s="3" t="s">
        <v>33</v>
      </c>
      <c r="E864" s="3" t="s">
        <v>1598</v>
      </c>
      <c r="F864" s="4">
        <v>43446.736111111109</v>
      </c>
      <c r="G864" s="3"/>
      <c r="H864" s="3"/>
      <c r="I864" s="3" t="s">
        <v>7043</v>
      </c>
      <c r="J864" s="3"/>
      <c r="K864" s="3"/>
      <c r="L864" s="5"/>
    </row>
    <row r="865" spans="1:12" ht="28.8" x14ac:dyDescent="0.55000000000000004">
      <c r="A865" s="9" t="str">
        <f>HYPERLINK("PDF\FOIA-FWS-2020-00724-0000864.pdf","FOIA-FWS-2020-00724-0000864")</f>
        <v>FOIA-FWS-2020-00724-0000864</v>
      </c>
      <c r="B865" s="3" t="s">
        <v>1601</v>
      </c>
      <c r="C865" s="3" t="s">
        <v>3</v>
      </c>
      <c r="D865" s="3" t="s">
        <v>33</v>
      </c>
      <c r="E865" s="3" t="s">
        <v>1602</v>
      </c>
      <c r="F865" s="4">
        <v>43446.746527777781</v>
      </c>
      <c r="G865" s="3" t="s">
        <v>1392</v>
      </c>
      <c r="H865" s="3" t="s">
        <v>1589</v>
      </c>
      <c r="I865" s="3" t="s">
        <v>7043</v>
      </c>
      <c r="J865" s="3"/>
      <c r="K865" s="3"/>
      <c r="L865" s="5"/>
    </row>
    <row r="866" spans="1:12" ht="28.8" x14ac:dyDescent="0.55000000000000004">
      <c r="A866" s="9" t="str">
        <f>HYPERLINK("PDF\FOIA-FWS-2020-00724-0000865.pdf","FOIA-FWS-2020-00724-0000865")</f>
        <v>FOIA-FWS-2020-00724-0000865</v>
      </c>
      <c r="B866" s="3" t="s">
        <v>1603</v>
      </c>
      <c r="C866" s="3" t="s">
        <v>3</v>
      </c>
      <c r="D866" s="3" t="s">
        <v>33</v>
      </c>
      <c r="E866" s="3" t="s">
        <v>1604</v>
      </c>
      <c r="F866" s="4">
        <v>43446.760416666664</v>
      </c>
      <c r="G866" s="3" t="s">
        <v>1069</v>
      </c>
      <c r="H866" s="3" t="s">
        <v>1070</v>
      </c>
      <c r="I866" s="3" t="s">
        <v>7043</v>
      </c>
      <c r="J866" s="3"/>
      <c r="K866" s="3"/>
      <c r="L866" s="5"/>
    </row>
    <row r="867" spans="1:12" ht="28.8" x14ac:dyDescent="0.55000000000000004">
      <c r="A867" s="9" t="str">
        <f>HYPERLINK("PDF\FOIA-FWS-2020-00724-0000866.pdf","FOIA-FWS-2020-00724-0000866")</f>
        <v>FOIA-FWS-2020-00724-0000866</v>
      </c>
      <c r="B867" s="3" t="s">
        <v>1603</v>
      </c>
      <c r="C867" s="3" t="s">
        <v>234</v>
      </c>
      <c r="D867" s="3" t="s">
        <v>160</v>
      </c>
      <c r="E867" s="3" t="s">
        <v>1605</v>
      </c>
      <c r="F867" s="4">
        <v>43446.760416666664</v>
      </c>
      <c r="G867" s="3"/>
      <c r="H867" s="3"/>
      <c r="I867" s="3" t="s">
        <v>7043</v>
      </c>
      <c r="J867" s="3"/>
      <c r="K867" s="3"/>
      <c r="L867" s="5" t="str">
        <f>HYPERLINK("NATIVE_FILES\FOIA-FWS-2020-00724-0000866.xlsx","FOIA-FWS-2020-00724-0000866.xlsx")</f>
        <v>FOIA-FWS-2020-00724-0000866.xlsx</v>
      </c>
    </row>
    <row r="868" spans="1:12" ht="28.8" x14ac:dyDescent="0.55000000000000004">
      <c r="A868" s="9" t="str">
        <f>HYPERLINK("PDF\FOIA-FWS-2020-00724-0000867.pdf","FOIA-FWS-2020-00724-0000867")</f>
        <v>FOIA-FWS-2020-00724-0000867</v>
      </c>
      <c r="B868" s="3" t="s">
        <v>1606</v>
      </c>
      <c r="C868" s="3" t="s">
        <v>3</v>
      </c>
      <c r="D868" s="3" t="s">
        <v>33</v>
      </c>
      <c r="E868" s="3" t="s">
        <v>1607</v>
      </c>
      <c r="F868" s="4">
        <v>43446.834027777775</v>
      </c>
      <c r="G868" s="3" t="s">
        <v>1069</v>
      </c>
      <c r="H868" s="3" t="s">
        <v>1070</v>
      </c>
      <c r="I868" s="3" t="s">
        <v>7043</v>
      </c>
      <c r="J868" s="3"/>
      <c r="K868" s="3"/>
      <c r="L868" s="5"/>
    </row>
    <row r="869" spans="1:12" ht="28.8" x14ac:dyDescent="0.55000000000000004">
      <c r="A869" s="9" t="str">
        <f>HYPERLINK("PDF\FOIA-FWS-2020-00724-0000868.pdf","FOIA-FWS-2020-00724-0000868")</f>
        <v>FOIA-FWS-2020-00724-0000868</v>
      </c>
      <c r="B869" s="3" t="s">
        <v>1606</v>
      </c>
      <c r="C869" s="3" t="s">
        <v>234</v>
      </c>
      <c r="D869" s="3" t="s">
        <v>33</v>
      </c>
      <c r="E869" s="3" t="s">
        <v>1608</v>
      </c>
      <c r="F869" s="4">
        <v>43446.834027777775</v>
      </c>
      <c r="G869" s="3"/>
      <c r="H869" s="3"/>
      <c r="I869" s="3" t="s">
        <v>7043</v>
      </c>
      <c r="J869" s="3"/>
      <c r="K869" s="3"/>
      <c r="L869" s="5" t="str">
        <f>HYPERLINK("NATIVE_FILES\FOIA-FWS-2020-00724-0000868.xlsx","FOIA-FWS-2020-00724-0000868.xlsx")</f>
        <v>FOIA-FWS-2020-00724-0000868.xlsx</v>
      </c>
    </row>
    <row r="870" spans="1:12" ht="28.8" x14ac:dyDescent="0.55000000000000004">
      <c r="A870" s="9" t="str">
        <f>HYPERLINK("PDF\FOIA-FWS-2020-00724-0000869.pdf","FOIA-FWS-2020-00724-0000869")</f>
        <v>FOIA-FWS-2020-00724-0000869</v>
      </c>
      <c r="B870" s="3" t="s">
        <v>1609</v>
      </c>
      <c r="C870" s="3" t="s">
        <v>3</v>
      </c>
      <c r="D870" s="3" t="s">
        <v>33</v>
      </c>
      <c r="E870" s="3" t="s">
        <v>1610</v>
      </c>
      <c r="F870" s="4">
        <v>43446.875694444447</v>
      </c>
      <c r="G870" s="3" t="s">
        <v>1069</v>
      </c>
      <c r="H870" s="3" t="s">
        <v>1070</v>
      </c>
      <c r="I870" s="3" t="s">
        <v>7043</v>
      </c>
      <c r="J870" s="3"/>
      <c r="K870" s="3"/>
      <c r="L870" s="5"/>
    </row>
    <row r="871" spans="1:12" ht="28.8" x14ac:dyDescent="0.55000000000000004">
      <c r="A871" s="9" t="str">
        <f>HYPERLINK("PDF\FOIA-FWS-2020-00724-0000870.pdf","FOIA-FWS-2020-00724-0000870")</f>
        <v>FOIA-FWS-2020-00724-0000870</v>
      </c>
      <c r="B871" s="3" t="s">
        <v>1609</v>
      </c>
      <c r="C871" s="3" t="s">
        <v>234</v>
      </c>
      <c r="D871" s="3" t="s">
        <v>33</v>
      </c>
      <c r="E871" s="3" t="s">
        <v>1611</v>
      </c>
      <c r="F871" s="4">
        <v>43446.875694444447</v>
      </c>
      <c r="G871" s="3"/>
      <c r="H871" s="3"/>
      <c r="I871" s="3" t="s">
        <v>7043</v>
      </c>
      <c r="J871" s="3"/>
      <c r="K871" s="3"/>
      <c r="L871" s="5" t="str">
        <f>HYPERLINK("NATIVE_FILES\FOIA-FWS-2020-00724-0000870.xlsx","FOIA-FWS-2020-00724-0000870.xlsx")</f>
        <v>FOIA-FWS-2020-00724-0000870.xlsx</v>
      </c>
    </row>
    <row r="872" spans="1:12" ht="28.8" x14ac:dyDescent="0.55000000000000004">
      <c r="A872" s="9" t="str">
        <f>HYPERLINK("PDF\FOIA-FWS-2020-00724-0000871.pdf","FOIA-FWS-2020-00724-0000871")</f>
        <v>FOIA-FWS-2020-00724-0000871</v>
      </c>
      <c r="B872" s="3" t="s">
        <v>1612</v>
      </c>
      <c r="C872" s="3" t="s">
        <v>3</v>
      </c>
      <c r="D872" s="3" t="s">
        <v>33</v>
      </c>
      <c r="E872" s="3" t="s">
        <v>1613</v>
      </c>
      <c r="F872" s="4">
        <v>43447.03402777778</v>
      </c>
      <c r="G872" s="3" t="s">
        <v>963</v>
      </c>
      <c r="H872" s="3" t="s">
        <v>985</v>
      </c>
      <c r="I872" s="3" t="s">
        <v>7043</v>
      </c>
      <c r="J872" s="3"/>
      <c r="K872" s="3"/>
      <c r="L872" s="5"/>
    </row>
    <row r="873" spans="1:12" ht="28.8" x14ac:dyDescent="0.55000000000000004">
      <c r="A873" s="9" t="str">
        <f>HYPERLINK("PDF\FOIA-FWS-2020-00724-0000872.pdf","FOIA-FWS-2020-00724-0000872")</f>
        <v>FOIA-FWS-2020-00724-0000872</v>
      </c>
      <c r="B873" s="3" t="s">
        <v>1614</v>
      </c>
      <c r="C873" s="3" t="s">
        <v>3</v>
      </c>
      <c r="D873" s="3" t="s">
        <v>33</v>
      </c>
      <c r="E873" s="3" t="s">
        <v>1613</v>
      </c>
      <c r="F873" s="4">
        <v>43447.418749999997</v>
      </c>
      <c r="G873" s="3" t="s">
        <v>985</v>
      </c>
      <c r="H873" s="3" t="s">
        <v>963</v>
      </c>
      <c r="I873" s="3" t="s">
        <v>7043</v>
      </c>
      <c r="J873" s="3"/>
      <c r="K873" s="3"/>
      <c r="L873" s="5"/>
    </row>
    <row r="874" spans="1:12" ht="28.8" x14ac:dyDescent="0.55000000000000004">
      <c r="A874" s="9" t="str">
        <f>HYPERLINK("PDF\FOIA-FWS-2020-00724-0000873.pdf","FOIA-FWS-2020-00724-0000873")</f>
        <v>FOIA-FWS-2020-00724-0000873</v>
      </c>
      <c r="B874" s="3" t="s">
        <v>1615</v>
      </c>
      <c r="C874" s="3" t="s">
        <v>3</v>
      </c>
      <c r="D874" s="3" t="s">
        <v>33</v>
      </c>
      <c r="E874" s="3" t="s">
        <v>1618</v>
      </c>
      <c r="F874" s="4">
        <v>43447.498611111114</v>
      </c>
      <c r="G874" s="3" t="s">
        <v>1616</v>
      </c>
      <c r="H874" s="3" t="s">
        <v>1617</v>
      </c>
      <c r="I874" s="3" t="s">
        <v>7043</v>
      </c>
      <c r="J874" s="3"/>
      <c r="K874" s="3"/>
      <c r="L874" s="5"/>
    </row>
    <row r="875" spans="1:12" ht="28.8" x14ac:dyDescent="0.55000000000000004">
      <c r="A875" s="9" t="str">
        <f>HYPERLINK("PDF\FOIA-FWS-2020-00724-0000874.pdf","FOIA-FWS-2020-00724-0000874")</f>
        <v>FOIA-FWS-2020-00724-0000874</v>
      </c>
      <c r="B875" s="3" t="s">
        <v>1619</v>
      </c>
      <c r="C875" s="3" t="s">
        <v>3</v>
      </c>
      <c r="D875" s="3" t="s">
        <v>33</v>
      </c>
      <c r="E875" s="3" t="s">
        <v>1620</v>
      </c>
      <c r="F875" s="4">
        <v>43447.697222222225</v>
      </c>
      <c r="G875" s="3" t="s">
        <v>963</v>
      </c>
      <c r="H875" s="3" t="s">
        <v>945</v>
      </c>
      <c r="I875" s="3" t="s">
        <v>7043</v>
      </c>
      <c r="J875" s="3"/>
      <c r="K875" s="3"/>
      <c r="L875" s="5"/>
    </row>
    <row r="876" spans="1:12" ht="28.8" x14ac:dyDescent="0.55000000000000004">
      <c r="A876" s="9" t="str">
        <f>HYPERLINK("PDF\FOIA-FWS-2020-00724-0000875.pdf","FOIA-FWS-2020-00724-0000875")</f>
        <v>FOIA-FWS-2020-00724-0000875</v>
      </c>
      <c r="B876" s="3" t="s">
        <v>1619</v>
      </c>
      <c r="C876" s="3" t="s">
        <v>234</v>
      </c>
      <c r="D876" s="3" t="s">
        <v>33</v>
      </c>
      <c r="E876" s="3" t="s">
        <v>1621</v>
      </c>
      <c r="F876" s="4">
        <v>43447.697222222225</v>
      </c>
      <c r="G876" s="3"/>
      <c r="H876" s="3"/>
      <c r="I876" s="3" t="s">
        <v>7043</v>
      </c>
      <c r="J876" s="3"/>
      <c r="K876" s="3"/>
      <c r="L876" s="5"/>
    </row>
    <row r="877" spans="1:12" ht="43.2" x14ac:dyDescent="0.55000000000000004">
      <c r="A877" s="9" t="str">
        <f>HYPERLINK("PDF\FOIA-FWS-2020-00724-0000876.pdf","FOIA-FWS-2020-00724-0000876")</f>
        <v>FOIA-FWS-2020-00724-0000876</v>
      </c>
      <c r="B877" s="3" t="s">
        <v>1622</v>
      </c>
      <c r="C877" s="3" t="s">
        <v>3</v>
      </c>
      <c r="D877" s="3" t="s">
        <v>33</v>
      </c>
      <c r="E877" s="3" t="s">
        <v>1623</v>
      </c>
      <c r="F877" s="4">
        <v>43448.637499999997</v>
      </c>
      <c r="G877" s="3" t="s">
        <v>861</v>
      </c>
      <c r="H877" s="3" t="s">
        <v>862</v>
      </c>
      <c r="I877" s="3" t="s">
        <v>864</v>
      </c>
      <c r="J877" s="3" t="s">
        <v>7046</v>
      </c>
      <c r="K877" s="3" t="s">
        <v>7036</v>
      </c>
      <c r="L877" s="5"/>
    </row>
    <row r="878" spans="1:12" ht="28.8" x14ac:dyDescent="0.55000000000000004">
      <c r="A878" s="9" t="str">
        <f>HYPERLINK("PDF\FOIA-FWS-2020-00724-0000877.pdf","FOIA-FWS-2020-00724-0000877")</f>
        <v>FOIA-FWS-2020-00724-0000877</v>
      </c>
      <c r="B878" s="3" t="s">
        <v>1622</v>
      </c>
      <c r="C878" s="3" t="s">
        <v>234</v>
      </c>
      <c r="D878" s="3" t="s">
        <v>33</v>
      </c>
      <c r="E878" s="3" t="s">
        <v>1626</v>
      </c>
      <c r="F878" s="4">
        <v>43448.637499999997</v>
      </c>
      <c r="G878" s="3" t="s">
        <v>1624</v>
      </c>
      <c r="H878" s="3" t="s">
        <v>1625</v>
      </c>
      <c r="I878" s="3" t="s">
        <v>864</v>
      </c>
      <c r="J878" s="3" t="s">
        <v>7046</v>
      </c>
      <c r="K878" s="3" t="s">
        <v>7036</v>
      </c>
      <c r="L878" s="5"/>
    </row>
    <row r="879" spans="1:12" ht="28.8" x14ac:dyDescent="0.55000000000000004">
      <c r="A879" s="9" t="str">
        <f>HYPERLINK("PDF\FOIA-FWS-2020-00724-0000878.pdf","FOIA-FWS-2020-00724-0000878")</f>
        <v>FOIA-FWS-2020-00724-0000878</v>
      </c>
      <c r="B879" s="3" t="s">
        <v>1627</v>
      </c>
      <c r="C879" s="3" t="s">
        <v>3</v>
      </c>
      <c r="D879" s="3" t="s">
        <v>33</v>
      </c>
      <c r="E879" s="3" t="s">
        <v>1629</v>
      </c>
      <c r="F879" s="4">
        <v>43448.737500000003</v>
      </c>
      <c r="G879" s="3" t="s">
        <v>1060</v>
      </c>
      <c r="H879" s="3" t="s">
        <v>1628</v>
      </c>
      <c r="I879" s="3" t="s">
        <v>7043</v>
      </c>
      <c r="J879" s="3"/>
      <c r="K879" s="3"/>
      <c r="L879" s="5"/>
    </row>
    <row r="880" spans="1:12" ht="86.4" x14ac:dyDescent="0.55000000000000004">
      <c r="A880" s="9" t="str">
        <f>HYPERLINK("PDF\FOIA-FWS-2020-00724-0000879.PDF","FOIA-FWS-2020-00724-0000879")</f>
        <v>FOIA-FWS-2020-00724-0000879</v>
      </c>
      <c r="B880" s="3" t="s">
        <v>1630</v>
      </c>
      <c r="C880" s="3" t="s">
        <v>3</v>
      </c>
      <c r="D880" s="3" t="s">
        <v>33</v>
      </c>
      <c r="E880" s="3" t="s">
        <v>1632</v>
      </c>
      <c r="F880" s="4">
        <v>43448.743750000001</v>
      </c>
      <c r="G880" s="3" t="s">
        <v>1631</v>
      </c>
      <c r="H880" s="3" t="s">
        <v>1392</v>
      </c>
      <c r="I880" s="3" t="s">
        <v>864</v>
      </c>
      <c r="J880" s="3" t="s">
        <v>7046</v>
      </c>
      <c r="K880" s="3" t="s">
        <v>7036</v>
      </c>
      <c r="L880" s="5"/>
    </row>
    <row r="881" spans="1:12" ht="43.2" x14ac:dyDescent="0.55000000000000004">
      <c r="A881" t="s">
        <v>7022</v>
      </c>
      <c r="B881" s="3" t="s">
        <v>1630</v>
      </c>
      <c r="C881" s="3" t="s">
        <v>234</v>
      </c>
      <c r="D881" s="3" t="s">
        <v>33</v>
      </c>
      <c r="E881" s="3" t="s">
        <v>1572</v>
      </c>
      <c r="F881" s="4">
        <v>43448.743750000001</v>
      </c>
      <c r="G881" s="3"/>
      <c r="H881" s="3"/>
      <c r="I881" s="3" t="s">
        <v>7044</v>
      </c>
      <c r="J881" s="3" t="s">
        <v>7046</v>
      </c>
      <c r="K881" s="3"/>
      <c r="L881" s="5"/>
    </row>
    <row r="882" spans="1:12" ht="28.8" x14ac:dyDescent="0.55000000000000004">
      <c r="A882" s="9" t="str">
        <f>HYPERLINK("PDF\FOIA-FWS-2020-00724-0000881.pdf","FOIA-FWS-2020-00724-0000881")</f>
        <v>FOIA-FWS-2020-00724-0000881</v>
      </c>
      <c r="B882" s="3" t="s">
        <v>1630</v>
      </c>
      <c r="C882" s="3" t="s">
        <v>234</v>
      </c>
      <c r="D882" s="3" t="s">
        <v>33</v>
      </c>
      <c r="E882" s="3" t="s">
        <v>1374</v>
      </c>
      <c r="F882" s="4">
        <v>43448.743750000001</v>
      </c>
      <c r="G882" s="3"/>
      <c r="H882" s="3"/>
      <c r="I882" s="3" t="s">
        <v>7043</v>
      </c>
      <c r="J882" s="3"/>
      <c r="K882" s="3"/>
      <c r="L882" s="5"/>
    </row>
    <row r="883" spans="1:12" ht="28.8" x14ac:dyDescent="0.55000000000000004">
      <c r="A883" s="9" t="str">
        <f>HYPERLINK("PDF\FOIA-FWS-2020-00724-0000882.pdf","FOIA-FWS-2020-00724-0000882")</f>
        <v>FOIA-FWS-2020-00724-0000882</v>
      </c>
      <c r="B883" s="3" t="s">
        <v>1630</v>
      </c>
      <c r="C883" s="3" t="s">
        <v>234</v>
      </c>
      <c r="D883" s="3" t="s">
        <v>33</v>
      </c>
      <c r="E883" s="3" t="s">
        <v>1573</v>
      </c>
      <c r="F883" s="4">
        <v>43448.743750000001</v>
      </c>
      <c r="G883" s="3"/>
      <c r="H883" s="3"/>
      <c r="I883" s="3" t="s">
        <v>7043</v>
      </c>
      <c r="J883" s="3"/>
      <c r="K883" s="3"/>
      <c r="L883" s="5"/>
    </row>
    <row r="884" spans="1:12" ht="28.8" x14ac:dyDescent="0.55000000000000004">
      <c r="A884" s="9" t="str">
        <f>HYPERLINK("PDF\FOIA-FWS-2020-00724-0000883.pdf","FOIA-FWS-2020-00724-0000883")</f>
        <v>FOIA-FWS-2020-00724-0000883</v>
      </c>
      <c r="B884" s="3" t="s">
        <v>1630</v>
      </c>
      <c r="C884" s="3" t="s">
        <v>234</v>
      </c>
      <c r="D884" s="3" t="s">
        <v>33</v>
      </c>
      <c r="E884" s="3" t="s">
        <v>1574</v>
      </c>
      <c r="F884" s="4">
        <v>43448.743750000001</v>
      </c>
      <c r="G884" s="3"/>
      <c r="H884" s="3"/>
      <c r="I884" s="3" t="s">
        <v>7043</v>
      </c>
      <c r="J884" s="3"/>
      <c r="K884" s="3"/>
      <c r="L884" s="5"/>
    </row>
    <row r="885" spans="1:12" ht="28.8" x14ac:dyDescent="0.55000000000000004">
      <c r="A885" s="9" t="str">
        <f>HYPERLINK("PDF\FOIA-FWS-2020-00724-0000884.pdf","FOIA-FWS-2020-00724-0000884")</f>
        <v>FOIA-FWS-2020-00724-0000884</v>
      </c>
      <c r="B885" s="3" t="s">
        <v>1630</v>
      </c>
      <c r="C885" s="3" t="s">
        <v>234</v>
      </c>
      <c r="D885" s="3" t="s">
        <v>33</v>
      </c>
      <c r="E885" s="3" t="s">
        <v>1575</v>
      </c>
      <c r="F885" s="4">
        <v>43448.743750000001</v>
      </c>
      <c r="G885" s="3"/>
      <c r="H885" s="3"/>
      <c r="I885" s="3" t="s">
        <v>7043</v>
      </c>
      <c r="J885" s="3"/>
      <c r="K885" s="3"/>
      <c r="L885" s="5"/>
    </row>
    <row r="886" spans="1:12" ht="28.8" x14ac:dyDescent="0.55000000000000004">
      <c r="A886" s="9" t="str">
        <f>HYPERLINK("PDF\FOIA-FWS-2020-00724-0000885.pdf","FOIA-FWS-2020-00724-0000885")</f>
        <v>FOIA-FWS-2020-00724-0000885</v>
      </c>
      <c r="B886" s="3" t="s">
        <v>1630</v>
      </c>
      <c r="C886" s="3" t="s">
        <v>234</v>
      </c>
      <c r="D886" s="3" t="s">
        <v>33</v>
      </c>
      <c r="E886" s="3" t="s">
        <v>1576</v>
      </c>
      <c r="F886" s="4">
        <v>43448.743750000001</v>
      </c>
      <c r="G886" s="3"/>
      <c r="H886" s="3"/>
      <c r="I886" s="3" t="s">
        <v>7043</v>
      </c>
      <c r="J886" s="3"/>
      <c r="K886" s="3"/>
      <c r="L886" s="5"/>
    </row>
    <row r="887" spans="1:12" ht="28.8" x14ac:dyDescent="0.55000000000000004">
      <c r="A887" s="9" t="str">
        <f>HYPERLINK("PDF\FOIA-FWS-2020-00724-0000886.pdf","FOIA-FWS-2020-00724-0000886")</f>
        <v>FOIA-FWS-2020-00724-0000886</v>
      </c>
      <c r="B887" s="3" t="s">
        <v>1630</v>
      </c>
      <c r="C887" s="3" t="s">
        <v>234</v>
      </c>
      <c r="D887" s="3" t="s">
        <v>33</v>
      </c>
      <c r="E887" s="3" t="s">
        <v>1577</v>
      </c>
      <c r="F887" s="4">
        <v>43448.743750000001</v>
      </c>
      <c r="G887" s="3"/>
      <c r="H887" s="3"/>
      <c r="I887" s="3" t="s">
        <v>7043</v>
      </c>
      <c r="J887" s="3"/>
      <c r="K887" s="3"/>
      <c r="L887" s="5"/>
    </row>
    <row r="888" spans="1:12" ht="28.8" x14ac:dyDescent="0.55000000000000004">
      <c r="A888" s="9" t="str">
        <f>HYPERLINK("PDF\FOIA-FWS-2020-00724-0000887.pdf","FOIA-FWS-2020-00724-0000887")</f>
        <v>FOIA-FWS-2020-00724-0000887</v>
      </c>
      <c r="B888" s="3" t="s">
        <v>1630</v>
      </c>
      <c r="C888" s="3" t="s">
        <v>234</v>
      </c>
      <c r="D888" s="3" t="s">
        <v>33</v>
      </c>
      <c r="E888" s="3" t="s">
        <v>1578</v>
      </c>
      <c r="F888" s="4">
        <v>43448.743750000001</v>
      </c>
      <c r="G888" s="3"/>
      <c r="H888" s="3"/>
      <c r="I888" s="3" t="s">
        <v>7043</v>
      </c>
      <c r="J888" s="3"/>
      <c r="K888" s="3"/>
      <c r="L888" s="5"/>
    </row>
    <row r="889" spans="1:12" ht="28.8" x14ac:dyDescent="0.55000000000000004">
      <c r="A889" s="9" t="str">
        <f>HYPERLINK("PDF\FOIA-FWS-2020-00724-0000888.pdf","FOIA-FWS-2020-00724-0000888")</f>
        <v>FOIA-FWS-2020-00724-0000888</v>
      </c>
      <c r="B889" s="3" t="s">
        <v>1630</v>
      </c>
      <c r="C889" s="3" t="s">
        <v>234</v>
      </c>
      <c r="D889" s="3" t="s">
        <v>33</v>
      </c>
      <c r="E889" s="3" t="s">
        <v>1579</v>
      </c>
      <c r="F889" s="4">
        <v>43448.743750000001</v>
      </c>
      <c r="G889" s="3"/>
      <c r="H889" s="3"/>
      <c r="I889" s="3" t="s">
        <v>7043</v>
      </c>
      <c r="J889" s="3"/>
      <c r="K889" s="3"/>
      <c r="L889" s="5"/>
    </row>
    <row r="890" spans="1:12" ht="28.8" x14ac:dyDescent="0.55000000000000004">
      <c r="A890" s="9" t="str">
        <f>HYPERLINK("PDF\FOIA-FWS-2020-00724-0000889.pdf","FOIA-FWS-2020-00724-0000889")</f>
        <v>FOIA-FWS-2020-00724-0000889</v>
      </c>
      <c r="B890" s="3" t="s">
        <v>1633</v>
      </c>
      <c r="C890" s="3" t="s">
        <v>3</v>
      </c>
      <c r="D890" s="3" t="s">
        <v>33</v>
      </c>
      <c r="E890" s="3" t="s">
        <v>1635</v>
      </c>
      <c r="F890" s="4">
        <v>43448.780555555553</v>
      </c>
      <c r="G890" s="3" t="s">
        <v>1392</v>
      </c>
      <c r="H890" s="3" t="s">
        <v>1634</v>
      </c>
      <c r="I890" s="3" t="s">
        <v>7043</v>
      </c>
      <c r="J890" s="3"/>
      <c r="K890" s="3"/>
      <c r="L890" s="5"/>
    </row>
    <row r="891" spans="1:12" ht="43.2" x14ac:dyDescent="0.55000000000000004">
      <c r="A891" s="9" t="str">
        <f>HYPERLINK("PDF\FOIA-FWS-2020-00724-0000890.pdf","FOIA-FWS-2020-00724-0000890")</f>
        <v>FOIA-FWS-2020-00724-0000890</v>
      </c>
      <c r="B891" s="3" t="s">
        <v>1636</v>
      </c>
      <c r="C891" s="3" t="s">
        <v>3</v>
      </c>
      <c r="D891" s="3" t="s">
        <v>33</v>
      </c>
      <c r="E891" s="3" t="s">
        <v>1638</v>
      </c>
      <c r="F891" s="4">
        <v>43448.780555555553</v>
      </c>
      <c r="G891" s="3" t="s">
        <v>1396</v>
      </c>
      <c r="H891" s="3" t="s">
        <v>1637</v>
      </c>
      <c r="I891" s="3" t="s">
        <v>7043</v>
      </c>
      <c r="J891" s="3"/>
      <c r="K891" s="3"/>
      <c r="L891" s="5"/>
    </row>
    <row r="892" spans="1:12" ht="28.8" x14ac:dyDescent="0.55000000000000004">
      <c r="A892" s="9" t="str">
        <f>HYPERLINK("PDF\FOIA-FWS-2020-00724-0000891.pdf","FOIA-FWS-2020-00724-0000891")</f>
        <v>FOIA-FWS-2020-00724-0000891</v>
      </c>
      <c r="B892" s="3" t="s">
        <v>1639</v>
      </c>
      <c r="C892" s="3" t="s">
        <v>3</v>
      </c>
      <c r="D892" s="3" t="s">
        <v>33</v>
      </c>
      <c r="E892" s="3" t="s">
        <v>1640</v>
      </c>
      <c r="F892" s="4">
        <v>43451.503472222219</v>
      </c>
      <c r="G892" s="3" t="s">
        <v>963</v>
      </c>
      <c r="H892" s="3" t="s">
        <v>1392</v>
      </c>
      <c r="I892" s="3" t="s">
        <v>7043</v>
      </c>
      <c r="J892" s="3"/>
      <c r="K892" s="3"/>
      <c r="L892" s="5"/>
    </row>
    <row r="893" spans="1:12" ht="28.8" x14ac:dyDescent="0.55000000000000004">
      <c r="A893" s="9" t="str">
        <f>HYPERLINK("PDF\FOIA-FWS-2020-00724-0000892.pdf","FOIA-FWS-2020-00724-0000892")</f>
        <v>FOIA-FWS-2020-00724-0000892</v>
      </c>
      <c r="B893" s="3" t="s">
        <v>1641</v>
      </c>
      <c r="C893" s="3" t="s">
        <v>3</v>
      </c>
      <c r="D893" s="3" t="s">
        <v>33</v>
      </c>
      <c r="E893" s="3" t="s">
        <v>1642</v>
      </c>
      <c r="F893" s="4">
        <v>43451.661805555559</v>
      </c>
      <c r="G893" s="3" t="s">
        <v>955</v>
      </c>
      <c r="H893" s="3" t="s">
        <v>955</v>
      </c>
      <c r="I893" s="3" t="s">
        <v>7043</v>
      </c>
      <c r="J893" s="3"/>
      <c r="K893" s="3"/>
      <c r="L893" s="5"/>
    </row>
    <row r="894" spans="1:12" ht="28.8" x14ac:dyDescent="0.55000000000000004">
      <c r="A894" s="9" t="str">
        <f>HYPERLINK("PDF\FOIA-FWS-2020-00724-0000893.pdf","FOIA-FWS-2020-00724-0000893")</f>
        <v>FOIA-FWS-2020-00724-0000893</v>
      </c>
      <c r="B894" s="3" t="s">
        <v>1641</v>
      </c>
      <c r="C894" s="3" t="s">
        <v>234</v>
      </c>
      <c r="D894" s="3" t="s">
        <v>33</v>
      </c>
      <c r="E894" s="3" t="s">
        <v>1213</v>
      </c>
      <c r="F894" s="4">
        <v>43451.661805555559</v>
      </c>
      <c r="G894" s="3"/>
      <c r="H894" s="3"/>
      <c r="I894" s="3" t="s">
        <v>7043</v>
      </c>
      <c r="J894" s="3"/>
      <c r="K894" s="3"/>
      <c r="L894" s="5"/>
    </row>
    <row r="895" spans="1:12" ht="28.8" x14ac:dyDescent="0.55000000000000004">
      <c r="A895" s="9" t="str">
        <f>HYPERLINK("PDF\FOIA-FWS-2020-00724-0000894.pdf","FOIA-FWS-2020-00724-0000894")</f>
        <v>FOIA-FWS-2020-00724-0000894</v>
      </c>
      <c r="B895" s="3" t="s">
        <v>1641</v>
      </c>
      <c r="C895" s="3" t="s">
        <v>234</v>
      </c>
      <c r="D895" s="3" t="s">
        <v>4</v>
      </c>
      <c r="E895" s="3" t="s">
        <v>1643</v>
      </c>
      <c r="F895" s="4">
        <v>43451.661805555559</v>
      </c>
      <c r="G895" s="3"/>
      <c r="H895" s="3"/>
      <c r="I895" s="3" t="s">
        <v>7043</v>
      </c>
      <c r="J895" s="3"/>
      <c r="K895" s="3"/>
      <c r="L895" s="5"/>
    </row>
    <row r="896" spans="1:12" ht="28.8" x14ac:dyDescent="0.55000000000000004">
      <c r="A896" s="9" t="str">
        <f>HYPERLINK("PDF\FOIA-FWS-2020-00724-0000895.pdf","FOIA-FWS-2020-00724-0000895")</f>
        <v>FOIA-FWS-2020-00724-0000895</v>
      </c>
      <c r="B896" s="3" t="s">
        <v>1641</v>
      </c>
      <c r="C896" s="3" t="s">
        <v>234</v>
      </c>
      <c r="D896" s="3" t="s">
        <v>33</v>
      </c>
      <c r="E896" s="3" t="s">
        <v>1644</v>
      </c>
      <c r="F896" s="4">
        <v>43451.661805555559</v>
      </c>
      <c r="G896" s="3"/>
      <c r="H896" s="3"/>
      <c r="I896" s="3" t="s">
        <v>7043</v>
      </c>
      <c r="J896" s="3"/>
      <c r="K896" s="3"/>
      <c r="L896" s="5"/>
    </row>
    <row r="897" spans="1:12" ht="28.8" x14ac:dyDescent="0.55000000000000004">
      <c r="A897" s="9" t="str">
        <f>HYPERLINK("PDF\FOIA-FWS-2020-00724-0000896.pdf","FOIA-FWS-2020-00724-0000896")</f>
        <v>FOIA-FWS-2020-00724-0000896</v>
      </c>
      <c r="B897" s="3" t="s">
        <v>1641</v>
      </c>
      <c r="C897" s="3" t="s">
        <v>234</v>
      </c>
      <c r="D897" s="3" t="s">
        <v>33</v>
      </c>
      <c r="E897" s="3" t="s">
        <v>1645</v>
      </c>
      <c r="F897" s="4">
        <v>43451.661805555559</v>
      </c>
      <c r="G897" s="3"/>
      <c r="H897" s="3"/>
      <c r="I897" s="3" t="s">
        <v>7043</v>
      </c>
      <c r="J897" s="3"/>
      <c r="K897" s="3"/>
      <c r="L897" s="5"/>
    </row>
    <row r="898" spans="1:12" ht="28.8" x14ac:dyDescent="0.55000000000000004">
      <c r="A898" s="9" t="str">
        <f>HYPERLINK("PDF\FOIA-FWS-2020-00724-0000897.pdf","FOIA-FWS-2020-00724-0000897")</f>
        <v>FOIA-FWS-2020-00724-0000897</v>
      </c>
      <c r="B898" s="3" t="s">
        <v>1641</v>
      </c>
      <c r="C898" s="3" t="s">
        <v>234</v>
      </c>
      <c r="D898" s="3" t="s">
        <v>4</v>
      </c>
      <c r="E898" s="3" t="s">
        <v>1646</v>
      </c>
      <c r="F898" s="4">
        <v>43451.661805555559</v>
      </c>
      <c r="G898" s="3"/>
      <c r="H898" s="3"/>
      <c r="I898" s="3" t="s">
        <v>7043</v>
      </c>
      <c r="J898" s="3"/>
      <c r="K898" s="3"/>
      <c r="L898" s="5"/>
    </row>
    <row r="899" spans="1:12" ht="28.8" x14ac:dyDescent="0.55000000000000004">
      <c r="A899" s="9" t="str">
        <f>HYPERLINK("PDF\FOIA-FWS-2020-00724-0000898.pdf","FOIA-FWS-2020-00724-0000898")</f>
        <v>FOIA-FWS-2020-00724-0000898</v>
      </c>
      <c r="B899" s="3" t="s">
        <v>1647</v>
      </c>
      <c r="C899" s="3" t="s">
        <v>3</v>
      </c>
      <c r="D899" s="3" t="s">
        <v>33</v>
      </c>
      <c r="E899" s="3" t="s">
        <v>1648</v>
      </c>
      <c r="F899" s="4">
        <v>43451.662499999999</v>
      </c>
      <c r="G899" s="3" t="s">
        <v>955</v>
      </c>
      <c r="H899" s="3" t="s">
        <v>955</v>
      </c>
      <c r="I899" s="3" t="s">
        <v>7043</v>
      </c>
      <c r="J899" s="3"/>
      <c r="K899" s="3"/>
      <c r="L899" s="5"/>
    </row>
    <row r="900" spans="1:12" ht="43.2" x14ac:dyDescent="0.55000000000000004">
      <c r="A900" s="9" t="str">
        <f>HYPERLINK("PDF\FOIA-FWS-2020-00724-0000899.pdf","FOIA-FWS-2020-00724-0000899")</f>
        <v>FOIA-FWS-2020-00724-0000899</v>
      </c>
      <c r="B900" s="3" t="s">
        <v>1647</v>
      </c>
      <c r="C900" s="3" t="s">
        <v>234</v>
      </c>
      <c r="D900" s="3" t="s">
        <v>4</v>
      </c>
      <c r="E900" s="3" t="s">
        <v>1649</v>
      </c>
      <c r="F900" s="4">
        <v>43451.662499999999</v>
      </c>
      <c r="G900" s="3"/>
      <c r="H900" s="3"/>
      <c r="I900" s="3" t="s">
        <v>7043</v>
      </c>
      <c r="J900" s="3"/>
      <c r="K900" s="3"/>
      <c r="L900" s="5"/>
    </row>
    <row r="901" spans="1:12" ht="28.8" x14ac:dyDescent="0.55000000000000004">
      <c r="A901" s="9" t="str">
        <f>HYPERLINK("PDF\FOIA-FWS-2020-00724-0000900.pdf","FOIA-FWS-2020-00724-0000900")</f>
        <v>FOIA-FWS-2020-00724-0000900</v>
      </c>
      <c r="B901" s="3" t="s">
        <v>1650</v>
      </c>
      <c r="C901" s="3" t="s">
        <v>3</v>
      </c>
      <c r="D901" s="3" t="s">
        <v>33</v>
      </c>
      <c r="E901" s="3" t="s">
        <v>1651</v>
      </c>
      <c r="F901" s="4">
        <v>43451.663194444445</v>
      </c>
      <c r="G901" s="3" t="s">
        <v>955</v>
      </c>
      <c r="H901" s="3" t="s">
        <v>955</v>
      </c>
      <c r="I901" s="3" t="s">
        <v>7043</v>
      </c>
      <c r="J901" s="3"/>
      <c r="K901" s="3"/>
      <c r="L901" s="5"/>
    </row>
    <row r="902" spans="1:12" ht="28.8" x14ac:dyDescent="0.55000000000000004">
      <c r="A902" s="9" t="str">
        <f>HYPERLINK("PDF\FOIA-FWS-2020-00724-0000901.pdf","FOIA-FWS-2020-00724-0000901")</f>
        <v>FOIA-FWS-2020-00724-0000901</v>
      </c>
      <c r="B902" s="3" t="s">
        <v>1650</v>
      </c>
      <c r="C902" s="3" t="s">
        <v>234</v>
      </c>
      <c r="D902" s="3" t="s">
        <v>4</v>
      </c>
      <c r="E902" s="3" t="s">
        <v>1652</v>
      </c>
      <c r="F902" s="4">
        <v>43451.663194444445</v>
      </c>
      <c r="G902" s="3"/>
      <c r="H902" s="3"/>
      <c r="I902" s="3" t="s">
        <v>7043</v>
      </c>
      <c r="J902" s="3"/>
      <c r="K902" s="3"/>
      <c r="L902" s="5"/>
    </row>
    <row r="903" spans="1:12" ht="28.8" x14ac:dyDescent="0.55000000000000004">
      <c r="A903" s="9" t="str">
        <f>HYPERLINK("PDF\FOIA-FWS-2020-00724-0000902.pdf","FOIA-FWS-2020-00724-0000902")</f>
        <v>FOIA-FWS-2020-00724-0000902</v>
      </c>
      <c r="B903" s="3" t="s">
        <v>1650</v>
      </c>
      <c r="C903" s="3" t="s">
        <v>234</v>
      </c>
      <c r="D903" s="3" t="s">
        <v>4</v>
      </c>
      <c r="E903" s="3" t="s">
        <v>1653</v>
      </c>
      <c r="F903" s="4">
        <v>43451.663194444445</v>
      </c>
      <c r="G903" s="3"/>
      <c r="H903" s="3"/>
      <c r="I903" s="3" t="s">
        <v>7043</v>
      </c>
      <c r="J903" s="3"/>
      <c r="K903" s="3"/>
      <c r="L903" s="5"/>
    </row>
    <row r="904" spans="1:12" ht="28.8" x14ac:dyDescent="0.55000000000000004">
      <c r="A904" s="9" t="str">
        <f>HYPERLINK("PDF\FOIA-FWS-2020-00724-0000903.pdf","FOIA-FWS-2020-00724-0000903")</f>
        <v>FOIA-FWS-2020-00724-0000903</v>
      </c>
      <c r="B904" s="3" t="s">
        <v>1650</v>
      </c>
      <c r="C904" s="3" t="s">
        <v>234</v>
      </c>
      <c r="D904" s="3" t="s">
        <v>4</v>
      </c>
      <c r="E904" s="3" t="s">
        <v>1654</v>
      </c>
      <c r="F904" s="4">
        <v>43451.663194444445</v>
      </c>
      <c r="G904" s="3"/>
      <c r="H904" s="3"/>
      <c r="I904" s="3" t="s">
        <v>7043</v>
      </c>
      <c r="J904" s="3"/>
      <c r="K904" s="3"/>
      <c r="L904" s="5"/>
    </row>
    <row r="905" spans="1:12" ht="28.8" x14ac:dyDescent="0.55000000000000004">
      <c r="A905" s="9" t="str">
        <f>HYPERLINK("PDF\FOIA-FWS-2020-00724-0000904.pdf","FOIA-FWS-2020-00724-0000904")</f>
        <v>FOIA-FWS-2020-00724-0000904</v>
      </c>
      <c r="B905" s="3" t="s">
        <v>1650</v>
      </c>
      <c r="C905" s="3" t="s">
        <v>234</v>
      </c>
      <c r="D905" s="3" t="s">
        <v>4</v>
      </c>
      <c r="E905" s="3" t="s">
        <v>1655</v>
      </c>
      <c r="F905" s="4">
        <v>43451.663194444445</v>
      </c>
      <c r="G905" s="3"/>
      <c r="H905" s="3"/>
      <c r="I905" s="3" t="s">
        <v>7043</v>
      </c>
      <c r="J905" s="3"/>
      <c r="K905" s="3"/>
      <c r="L905" s="5"/>
    </row>
    <row r="906" spans="1:12" ht="28.8" x14ac:dyDescent="0.55000000000000004">
      <c r="A906" s="9" t="str">
        <f>HYPERLINK("PDF\FOIA-FWS-2020-00724-0000905.pdf","FOIA-FWS-2020-00724-0000905")</f>
        <v>FOIA-FWS-2020-00724-0000905</v>
      </c>
      <c r="B906" s="3" t="s">
        <v>1650</v>
      </c>
      <c r="C906" s="3" t="s">
        <v>234</v>
      </c>
      <c r="D906" s="3" t="s">
        <v>4</v>
      </c>
      <c r="E906" s="3" t="s">
        <v>1453</v>
      </c>
      <c r="F906" s="4">
        <v>43451.663194444445</v>
      </c>
      <c r="G906" s="3"/>
      <c r="H906" s="3"/>
      <c r="I906" s="3" t="s">
        <v>7043</v>
      </c>
      <c r="J906" s="3"/>
      <c r="K906" s="3"/>
      <c r="L906" s="5"/>
    </row>
    <row r="907" spans="1:12" ht="28.8" x14ac:dyDescent="0.55000000000000004">
      <c r="A907" s="9" t="str">
        <f>HYPERLINK("PDF\FOIA-FWS-2020-00724-0000906.pdf","FOIA-FWS-2020-00724-0000906")</f>
        <v>FOIA-FWS-2020-00724-0000906</v>
      </c>
      <c r="B907" s="3" t="s">
        <v>1650</v>
      </c>
      <c r="C907" s="3" t="s">
        <v>234</v>
      </c>
      <c r="D907" s="3" t="s">
        <v>4</v>
      </c>
      <c r="E907" s="3" t="s">
        <v>1656</v>
      </c>
      <c r="F907" s="4">
        <v>43451.663194444445</v>
      </c>
      <c r="G907" s="3"/>
      <c r="H907" s="3"/>
      <c r="I907" s="3" t="s">
        <v>7043</v>
      </c>
      <c r="J907" s="3"/>
      <c r="K907" s="3"/>
      <c r="L907" s="5"/>
    </row>
    <row r="908" spans="1:12" ht="28.8" x14ac:dyDescent="0.55000000000000004">
      <c r="A908" s="9" t="str">
        <f>HYPERLINK("PDF\FOIA-FWS-2020-00724-0000907.pdf","FOIA-FWS-2020-00724-0000907")</f>
        <v>FOIA-FWS-2020-00724-0000907</v>
      </c>
      <c r="B908" s="3" t="s">
        <v>1650</v>
      </c>
      <c r="C908" s="3" t="s">
        <v>234</v>
      </c>
      <c r="D908" s="3" t="s">
        <v>4</v>
      </c>
      <c r="E908" s="3" t="s">
        <v>1657</v>
      </c>
      <c r="F908" s="4">
        <v>43451.663194444445</v>
      </c>
      <c r="G908" s="3"/>
      <c r="H908" s="3"/>
      <c r="I908" s="3" t="s">
        <v>7043</v>
      </c>
      <c r="J908" s="3"/>
      <c r="K908" s="3"/>
      <c r="L908" s="5"/>
    </row>
    <row r="909" spans="1:12" ht="28.8" x14ac:dyDescent="0.55000000000000004">
      <c r="A909" s="9" t="str">
        <f>HYPERLINK("PDF\FOIA-FWS-2020-00724-0000908.pdf","FOIA-FWS-2020-00724-0000908")</f>
        <v>FOIA-FWS-2020-00724-0000908</v>
      </c>
      <c r="B909" s="3" t="s">
        <v>1650</v>
      </c>
      <c r="C909" s="3" t="s">
        <v>234</v>
      </c>
      <c r="D909" s="3" t="s">
        <v>4</v>
      </c>
      <c r="E909" s="3" t="s">
        <v>1658</v>
      </c>
      <c r="F909" s="4">
        <v>43451.663194444445</v>
      </c>
      <c r="G909" s="3"/>
      <c r="H909" s="3"/>
      <c r="I909" s="3" t="s">
        <v>7043</v>
      </c>
      <c r="J909" s="3"/>
      <c r="K909" s="3"/>
      <c r="L909" s="5"/>
    </row>
    <row r="910" spans="1:12" ht="28.8" x14ac:dyDescent="0.55000000000000004">
      <c r="A910" s="9" t="str">
        <f>HYPERLINK("PDF\FOIA-FWS-2020-00724-0000909.pdf","FOIA-FWS-2020-00724-0000909")</f>
        <v>FOIA-FWS-2020-00724-0000909</v>
      </c>
      <c r="B910" s="3" t="s">
        <v>1659</v>
      </c>
      <c r="C910" s="3" t="s">
        <v>3</v>
      </c>
      <c r="D910" s="3" t="s">
        <v>33</v>
      </c>
      <c r="E910" s="3" t="s">
        <v>1661</v>
      </c>
      <c r="F910" s="4">
        <v>43451.738888888889</v>
      </c>
      <c r="G910" s="3" t="s">
        <v>1631</v>
      </c>
      <c r="H910" s="3" t="s">
        <v>1660</v>
      </c>
      <c r="I910" s="3" t="s">
        <v>7043</v>
      </c>
      <c r="J910" s="3"/>
      <c r="K910" s="3"/>
      <c r="L910" s="5"/>
    </row>
    <row r="911" spans="1:12" ht="28.8" x14ac:dyDescent="0.55000000000000004">
      <c r="A911" s="9" t="str">
        <f>HYPERLINK("PDF\FOIA-FWS-2020-00724-0000910.pdf","FOIA-FWS-2020-00724-0000910")</f>
        <v>FOIA-FWS-2020-00724-0000910</v>
      </c>
      <c r="B911" s="3" t="s">
        <v>1659</v>
      </c>
      <c r="C911" s="3" t="s">
        <v>234</v>
      </c>
      <c r="D911" s="3" t="s">
        <v>4</v>
      </c>
      <c r="E911" s="3" t="s">
        <v>1662</v>
      </c>
      <c r="F911" s="4">
        <v>43451.738888888889</v>
      </c>
      <c r="G911" s="3"/>
      <c r="H911" s="3"/>
      <c r="I911" s="3" t="s">
        <v>7043</v>
      </c>
      <c r="J911" s="3"/>
      <c r="K911" s="3"/>
      <c r="L911" s="5"/>
    </row>
    <row r="912" spans="1:12" ht="28.8" x14ac:dyDescent="0.55000000000000004">
      <c r="A912" s="9" t="str">
        <f>HYPERLINK("PDF\FOIA-FWS-2020-00724-0000911.pdf","FOIA-FWS-2020-00724-0000911")</f>
        <v>FOIA-FWS-2020-00724-0000911</v>
      </c>
      <c r="B912" s="3" t="s">
        <v>1663</v>
      </c>
      <c r="C912" s="3" t="s">
        <v>3</v>
      </c>
      <c r="D912" s="3" t="s">
        <v>33</v>
      </c>
      <c r="E912" s="3" t="s">
        <v>1664</v>
      </c>
      <c r="F912" s="4">
        <v>43452</v>
      </c>
      <c r="G912" s="3"/>
      <c r="H912" s="3"/>
      <c r="I912" s="3" t="s">
        <v>7047</v>
      </c>
      <c r="J912" s="3" t="s">
        <v>7046</v>
      </c>
      <c r="K912" s="3" t="s">
        <v>7036</v>
      </c>
      <c r="L912" s="5"/>
    </row>
    <row r="913" spans="1:12" ht="28.8" x14ac:dyDescent="0.55000000000000004">
      <c r="A913" s="9" t="str">
        <f>HYPERLINK("PDF\FOIA-FWS-2020-00724-0000912.pdf","FOIA-FWS-2020-00724-0000912")</f>
        <v>FOIA-FWS-2020-00724-0000912</v>
      </c>
      <c r="B913" s="3" t="s">
        <v>1665</v>
      </c>
      <c r="C913" s="3" t="s">
        <v>3</v>
      </c>
      <c r="D913" s="3" t="s">
        <v>33</v>
      </c>
      <c r="E913" s="3" t="s">
        <v>1666</v>
      </c>
      <c r="F913" s="4">
        <v>43452</v>
      </c>
      <c r="G913" s="3"/>
      <c r="H913" s="3"/>
      <c r="I913" s="3" t="s">
        <v>7043</v>
      </c>
      <c r="J913" s="3"/>
      <c r="K913" s="3"/>
      <c r="L913" s="5"/>
    </row>
    <row r="914" spans="1:12" ht="28.8" x14ac:dyDescent="0.55000000000000004">
      <c r="A914" s="9" t="str">
        <f>HYPERLINK("PDF\FOIA-FWS-2020-00724-0000913.pdf","FOIA-FWS-2020-00724-0000913")</f>
        <v>FOIA-FWS-2020-00724-0000913</v>
      </c>
      <c r="B914" s="3" t="s">
        <v>1667</v>
      </c>
      <c r="C914" s="3" t="s">
        <v>3</v>
      </c>
      <c r="D914" s="3" t="s">
        <v>33</v>
      </c>
      <c r="E914" s="3" t="s">
        <v>1668</v>
      </c>
      <c r="F914" s="4">
        <v>43452</v>
      </c>
      <c r="G914" s="3"/>
      <c r="H914" s="3"/>
      <c r="I914" s="3" t="s">
        <v>7043</v>
      </c>
      <c r="J914" s="3"/>
      <c r="K914" s="3"/>
      <c r="L914" s="5"/>
    </row>
    <row r="915" spans="1:12" ht="28.8" x14ac:dyDescent="0.55000000000000004">
      <c r="A915" s="9" t="str">
        <f>HYPERLINK("PDF\FOIA-FWS-2020-00724-0000914.pdf","FOIA-FWS-2020-00724-0000914")</f>
        <v>FOIA-FWS-2020-00724-0000914</v>
      </c>
      <c r="B915" s="3" t="s">
        <v>1669</v>
      </c>
      <c r="C915" s="3"/>
      <c r="D915" s="3" t="s">
        <v>160</v>
      </c>
      <c r="E915" s="3" t="s">
        <v>1670</v>
      </c>
      <c r="F915" s="4">
        <v>43452</v>
      </c>
      <c r="G915" s="3"/>
      <c r="H915" s="3"/>
      <c r="I915" s="3" t="s">
        <v>7043</v>
      </c>
      <c r="J915" s="3"/>
      <c r="K915" s="3"/>
      <c r="L915" s="5" t="str">
        <f>HYPERLINK("NATIVE_FILES\FOIA-FWS-2020-00724-0000914.zip","FOIA-FWS-2020-00724-0000914.zip")</f>
        <v>FOIA-FWS-2020-00724-0000914.zip</v>
      </c>
    </row>
    <row r="916" spans="1:12" ht="28.8" x14ac:dyDescent="0.55000000000000004">
      <c r="A916" s="9" t="str">
        <f>HYPERLINK("PDF\FOIA-FWS-2020-00724-0000915.pdf","FOIA-FWS-2020-00724-0000915")</f>
        <v>FOIA-FWS-2020-00724-0000915</v>
      </c>
      <c r="B916" s="3" t="s">
        <v>1671</v>
      </c>
      <c r="C916" s="3" t="s">
        <v>3</v>
      </c>
      <c r="D916" s="3" t="s">
        <v>33</v>
      </c>
      <c r="E916" s="3" t="s">
        <v>1629</v>
      </c>
      <c r="F916" s="4">
        <v>43452.484722222223</v>
      </c>
      <c r="G916" s="3" t="s">
        <v>1249</v>
      </c>
      <c r="H916" s="3" t="s">
        <v>1060</v>
      </c>
      <c r="I916" s="3" t="s">
        <v>7043</v>
      </c>
      <c r="J916" s="3"/>
      <c r="K916" s="3"/>
      <c r="L916" s="5"/>
    </row>
    <row r="917" spans="1:12" ht="28.8" x14ac:dyDescent="0.55000000000000004">
      <c r="A917" s="9" t="str">
        <f>HYPERLINK("PDF\FOIA-FWS-2020-00724-0000916.pdf","FOIA-FWS-2020-00724-0000916")</f>
        <v>FOIA-FWS-2020-00724-0000916</v>
      </c>
      <c r="B917" s="3" t="s">
        <v>1672</v>
      </c>
      <c r="C917" s="3" t="s">
        <v>3</v>
      </c>
      <c r="D917" s="3" t="s">
        <v>33</v>
      </c>
      <c r="E917" s="3" t="s">
        <v>1673</v>
      </c>
      <c r="F917" s="4">
        <v>43452.583333333336</v>
      </c>
      <c r="G917" s="3" t="s">
        <v>963</v>
      </c>
      <c r="H917" s="3" t="s">
        <v>919</v>
      </c>
      <c r="I917" s="3" t="s">
        <v>7043</v>
      </c>
      <c r="J917" s="3"/>
      <c r="K917" s="3"/>
      <c r="L917" s="5"/>
    </row>
    <row r="918" spans="1:12" ht="28.8" x14ac:dyDescent="0.55000000000000004">
      <c r="A918" s="9" t="str">
        <f>HYPERLINK("PDF\FOIA-FWS-2020-00724-0000917.pdf","FOIA-FWS-2020-00724-0000917")</f>
        <v>FOIA-FWS-2020-00724-0000917</v>
      </c>
      <c r="B918" s="3" t="s">
        <v>1674</v>
      </c>
      <c r="C918" s="3" t="s">
        <v>3</v>
      </c>
      <c r="D918" s="3" t="s">
        <v>33</v>
      </c>
      <c r="E918" s="3" t="s">
        <v>1675</v>
      </c>
      <c r="F918" s="4">
        <v>43452.630555555559</v>
      </c>
      <c r="G918" s="3" t="s">
        <v>955</v>
      </c>
      <c r="H918" s="3" t="s">
        <v>1119</v>
      </c>
      <c r="I918" s="3" t="s">
        <v>7043</v>
      </c>
      <c r="J918" s="3"/>
      <c r="K918" s="3"/>
      <c r="L918" s="5"/>
    </row>
    <row r="919" spans="1:12" ht="28.8" x14ac:dyDescent="0.55000000000000004">
      <c r="A919" s="9" t="str">
        <f>HYPERLINK("PDF\FOIA-FWS-2020-00724-0000918.pdf","FOIA-FWS-2020-00724-0000918")</f>
        <v>FOIA-FWS-2020-00724-0000918</v>
      </c>
      <c r="B919" s="3" t="s">
        <v>1674</v>
      </c>
      <c r="C919" s="3" t="s">
        <v>234</v>
      </c>
      <c r="D919" s="3" t="s">
        <v>33</v>
      </c>
      <c r="E919" s="3" t="s">
        <v>1676</v>
      </c>
      <c r="F919" s="4">
        <v>43452.630555555559</v>
      </c>
      <c r="G919" s="3"/>
      <c r="H919" s="3"/>
      <c r="I919" s="3" t="s">
        <v>7043</v>
      </c>
      <c r="J919" s="3"/>
      <c r="K919" s="3"/>
      <c r="L919" s="5"/>
    </row>
    <row r="920" spans="1:12" ht="345.6" x14ac:dyDescent="0.55000000000000004">
      <c r="A920" s="9" t="str">
        <f>HYPERLINK("PDF\FOIA-FWS-2020-00724-0000919.pdf","FOIA-FWS-2020-00724-0000919")</f>
        <v>FOIA-FWS-2020-00724-0000919</v>
      </c>
      <c r="B920" s="3" t="s">
        <v>1677</v>
      </c>
      <c r="C920" s="3" t="s">
        <v>3</v>
      </c>
      <c r="D920" s="3" t="s">
        <v>1678</v>
      </c>
      <c r="E920" s="3" t="s">
        <v>1681</v>
      </c>
      <c r="F920" s="4">
        <v>43452.634027777778</v>
      </c>
      <c r="G920" s="3" t="s">
        <v>1679</v>
      </c>
      <c r="H920" s="3" t="s">
        <v>1680</v>
      </c>
      <c r="I920" s="3" t="s">
        <v>864</v>
      </c>
      <c r="J920" s="3" t="s">
        <v>7046</v>
      </c>
      <c r="K920" s="3" t="s">
        <v>7036</v>
      </c>
      <c r="L920" s="5"/>
    </row>
    <row r="921" spans="1:12" ht="302.39999999999998" x14ac:dyDescent="0.55000000000000004">
      <c r="A921" s="9" t="str">
        <f>HYPERLINK("PDF\FOIA-FWS-2020-00724-0000920.pdf","FOIA-FWS-2020-00724-0000920")</f>
        <v>FOIA-FWS-2020-00724-0000920</v>
      </c>
      <c r="B921" s="3" t="s">
        <v>1677</v>
      </c>
      <c r="C921" s="3" t="s">
        <v>234</v>
      </c>
      <c r="D921" s="3" t="s">
        <v>33</v>
      </c>
      <c r="E921" s="3" t="s">
        <v>867</v>
      </c>
      <c r="F921" s="4">
        <v>43452.634027777778</v>
      </c>
      <c r="G921" s="3" t="s">
        <v>1679</v>
      </c>
      <c r="H921" s="3" t="s">
        <v>1682</v>
      </c>
      <c r="I921" s="3" t="s">
        <v>7043</v>
      </c>
      <c r="J921" s="3"/>
      <c r="K921" s="3" t="s">
        <v>7036</v>
      </c>
      <c r="L921" s="5" t="str">
        <f>HYPERLINK("NATIVE_FILES\FOIA-FWS-2020-00724-0000920.ics","FOIA-FWS-2020-00724-0000920.ics")</f>
        <v>FOIA-FWS-2020-00724-0000920.ics</v>
      </c>
    </row>
    <row r="922" spans="1:12" ht="28.8" x14ac:dyDescent="0.55000000000000004">
      <c r="A922" s="9" t="str">
        <f>HYPERLINK("PDF\FOIA-FWS-2020-00724-0000921.pdf","FOIA-FWS-2020-00724-0000921")</f>
        <v>FOIA-FWS-2020-00724-0000921</v>
      </c>
      <c r="B922" s="3" t="s">
        <v>1683</v>
      </c>
      <c r="C922" s="3" t="s">
        <v>3</v>
      </c>
      <c r="D922" s="3" t="s">
        <v>33</v>
      </c>
      <c r="E922" s="3" t="s">
        <v>1684</v>
      </c>
      <c r="F922" s="4">
        <v>43452.660416666666</v>
      </c>
      <c r="G922" s="3" t="s">
        <v>1069</v>
      </c>
      <c r="H922" s="3" t="s">
        <v>1070</v>
      </c>
      <c r="I922" s="3" t="s">
        <v>7043</v>
      </c>
      <c r="J922" s="3"/>
      <c r="K922" s="3"/>
      <c r="L922" s="5"/>
    </row>
    <row r="923" spans="1:12" ht="28.8" x14ac:dyDescent="0.55000000000000004">
      <c r="A923" s="9" t="str">
        <f>HYPERLINK("PDF\FOIA-FWS-2020-00724-0000922.pdf","FOIA-FWS-2020-00724-0000922")</f>
        <v>FOIA-FWS-2020-00724-0000922</v>
      </c>
      <c r="B923" s="3" t="s">
        <v>1683</v>
      </c>
      <c r="C923" s="3" t="s">
        <v>234</v>
      </c>
      <c r="D923" s="3" t="s">
        <v>160</v>
      </c>
      <c r="E923" s="3" t="s">
        <v>1685</v>
      </c>
      <c r="F923" s="4">
        <v>43452.660416666666</v>
      </c>
      <c r="G923" s="3"/>
      <c r="H923" s="3"/>
      <c r="I923" s="3" t="s">
        <v>7043</v>
      </c>
      <c r="J923" s="3"/>
      <c r="K923" s="3"/>
      <c r="L923" s="5" t="str">
        <f>HYPERLINK("NATIVE_FILES\FOIA-FWS-2020-00724-0000922.xlsx","FOIA-FWS-2020-00724-0000922.xlsx")</f>
        <v>FOIA-FWS-2020-00724-0000922.xlsx</v>
      </c>
    </row>
    <row r="924" spans="1:12" ht="28.8" x14ac:dyDescent="0.55000000000000004">
      <c r="A924" s="9" t="str">
        <f>HYPERLINK("PDF\FOIA-FWS-2020-00724-0000923.pdf","FOIA-FWS-2020-00724-0000923")</f>
        <v>FOIA-FWS-2020-00724-0000923</v>
      </c>
      <c r="B924" s="3" t="s">
        <v>1683</v>
      </c>
      <c r="C924" s="3" t="s">
        <v>234</v>
      </c>
      <c r="D924" s="3" t="s">
        <v>160</v>
      </c>
      <c r="E924" s="3" t="s">
        <v>1686</v>
      </c>
      <c r="F924" s="4">
        <v>43452.660416666666</v>
      </c>
      <c r="G924" s="3"/>
      <c r="H924" s="3"/>
      <c r="I924" s="3" t="s">
        <v>7043</v>
      </c>
      <c r="J924" s="3"/>
      <c r="K924" s="3"/>
      <c r="L924" s="5" t="str">
        <f>HYPERLINK("NATIVE_FILES\FOIA-FWS-2020-00724-0000923.xlsx","FOIA-FWS-2020-00724-0000923.xlsx")</f>
        <v>FOIA-FWS-2020-00724-0000923.xlsx</v>
      </c>
    </row>
    <row r="925" spans="1:12" ht="28.8" x14ac:dyDescent="0.55000000000000004">
      <c r="A925" s="9" t="str">
        <f>HYPERLINK("PDF\FOIA-FWS-2020-00724-0000924.pdf","FOIA-FWS-2020-00724-0000924")</f>
        <v>FOIA-FWS-2020-00724-0000924</v>
      </c>
      <c r="B925" s="3" t="s">
        <v>1687</v>
      </c>
      <c r="C925" s="3" t="s">
        <v>3</v>
      </c>
      <c r="D925" s="3" t="s">
        <v>33</v>
      </c>
      <c r="E925" s="3" t="s">
        <v>1689</v>
      </c>
      <c r="F925" s="4">
        <v>43452.672222222223</v>
      </c>
      <c r="G925" s="3" t="s">
        <v>1688</v>
      </c>
      <c r="H925" s="3" t="s">
        <v>861</v>
      </c>
      <c r="I925" s="3" t="s">
        <v>7043</v>
      </c>
      <c r="J925" s="3"/>
      <c r="K925" s="3"/>
      <c r="L925" s="5"/>
    </row>
    <row r="926" spans="1:12" ht="28.8" x14ac:dyDescent="0.55000000000000004">
      <c r="A926" s="9" t="str">
        <f>HYPERLINK("PDF\FOIA-FWS-2020-00724-0000925.pdf","FOIA-FWS-2020-00724-0000925")</f>
        <v>FOIA-FWS-2020-00724-0000925</v>
      </c>
      <c r="B926" s="3" t="s">
        <v>1690</v>
      </c>
      <c r="C926" s="3" t="s">
        <v>3</v>
      </c>
      <c r="D926" s="3" t="s">
        <v>33</v>
      </c>
      <c r="E926" s="3" t="s">
        <v>1691</v>
      </c>
      <c r="F926" s="4">
        <v>43452.867361111108</v>
      </c>
      <c r="G926" s="3" t="s">
        <v>1069</v>
      </c>
      <c r="H926" s="3" t="s">
        <v>1070</v>
      </c>
      <c r="I926" s="3" t="s">
        <v>7043</v>
      </c>
      <c r="J926" s="3"/>
      <c r="K926" s="3"/>
      <c r="L926" s="5"/>
    </row>
    <row r="927" spans="1:12" ht="28.8" x14ac:dyDescent="0.55000000000000004">
      <c r="A927" s="9" t="str">
        <f>HYPERLINK("PDF\FOIA-FWS-2020-00724-0000926.pdf","FOIA-FWS-2020-00724-0000926")</f>
        <v>FOIA-FWS-2020-00724-0000926</v>
      </c>
      <c r="B927" s="3" t="s">
        <v>1690</v>
      </c>
      <c r="C927" s="3" t="s">
        <v>234</v>
      </c>
      <c r="D927" s="3" t="s">
        <v>160</v>
      </c>
      <c r="E927" s="3" t="s">
        <v>1692</v>
      </c>
      <c r="F927" s="4">
        <v>43452.867361111108</v>
      </c>
      <c r="G927" s="3"/>
      <c r="H927" s="3"/>
      <c r="I927" s="3" t="s">
        <v>7043</v>
      </c>
      <c r="J927" s="3"/>
      <c r="K927" s="3"/>
      <c r="L927" s="5" t="str">
        <f>HYPERLINK("NATIVE_FILES\FOIA-FWS-2020-00724-0000926.xlsx","FOIA-FWS-2020-00724-0000926.xlsx")</f>
        <v>FOIA-FWS-2020-00724-0000926.xlsx</v>
      </c>
    </row>
    <row r="928" spans="1:12" ht="28.8" x14ac:dyDescent="0.55000000000000004">
      <c r="A928" s="9" t="str">
        <f>HYPERLINK("PDF\FOIA-FWS-2020-00724-0000927.pdf","FOIA-FWS-2020-00724-0000927")</f>
        <v>FOIA-FWS-2020-00724-0000927</v>
      </c>
      <c r="B928" s="3" t="s">
        <v>1693</v>
      </c>
      <c r="C928" s="3" t="s">
        <v>3</v>
      </c>
      <c r="D928" s="3" t="s">
        <v>33</v>
      </c>
      <c r="E928" s="3" t="s">
        <v>1694</v>
      </c>
      <c r="F928" s="4">
        <v>43453.500694444447</v>
      </c>
      <c r="G928" s="3" t="s">
        <v>1553</v>
      </c>
      <c r="H928" s="3" t="s">
        <v>1392</v>
      </c>
      <c r="I928" s="3" t="s">
        <v>7043</v>
      </c>
      <c r="J928" s="3"/>
      <c r="K928" s="3"/>
      <c r="L928" s="5"/>
    </row>
    <row r="929" spans="1:12" ht="28.8" x14ac:dyDescent="0.55000000000000004">
      <c r="A929" s="9" t="str">
        <f>HYPERLINK("PDF\FOIA-FWS-2020-00724-0000928.pdf","FOIA-FWS-2020-00724-0000928")</f>
        <v>FOIA-FWS-2020-00724-0000928</v>
      </c>
      <c r="B929" s="3" t="s">
        <v>1693</v>
      </c>
      <c r="C929" s="3" t="s">
        <v>234</v>
      </c>
      <c r="D929" s="3" t="s">
        <v>33</v>
      </c>
      <c r="E929" s="3" t="s">
        <v>1695</v>
      </c>
      <c r="F929" s="4">
        <v>43453.500694444447</v>
      </c>
      <c r="G929" s="3"/>
      <c r="H929" s="3"/>
      <c r="I929" s="3" t="s">
        <v>7043</v>
      </c>
      <c r="J929" s="3"/>
      <c r="K929" s="3"/>
      <c r="L929" s="5"/>
    </row>
    <row r="930" spans="1:12" ht="28.8" x14ac:dyDescent="0.55000000000000004">
      <c r="A930" s="9" t="str">
        <f>HYPERLINK("PDF\FOIA-FWS-2020-00724-0000929.pdf","FOIA-FWS-2020-00724-0000929")</f>
        <v>FOIA-FWS-2020-00724-0000929</v>
      </c>
      <c r="B930" s="3" t="s">
        <v>1696</v>
      </c>
      <c r="C930" s="3" t="s">
        <v>3</v>
      </c>
      <c r="D930" s="3" t="s">
        <v>33</v>
      </c>
      <c r="E930" s="3" t="s">
        <v>1698</v>
      </c>
      <c r="F930" s="4">
        <v>43453.612500000003</v>
      </c>
      <c r="G930" s="3" t="s">
        <v>709</v>
      </c>
      <c r="H930" s="3" t="s">
        <v>1697</v>
      </c>
      <c r="I930" s="3" t="s">
        <v>7043</v>
      </c>
      <c r="J930" s="3"/>
      <c r="K930" s="3"/>
      <c r="L930" s="5"/>
    </row>
    <row r="931" spans="1:12" ht="28.8" x14ac:dyDescent="0.55000000000000004">
      <c r="A931" s="9" t="str">
        <f>HYPERLINK("PDF\FOIA-FWS-2020-00724-0000930.pdf","FOIA-FWS-2020-00724-0000930")</f>
        <v>FOIA-FWS-2020-00724-0000930</v>
      </c>
      <c r="B931" s="3" t="s">
        <v>1699</v>
      </c>
      <c r="C931" s="3" t="s">
        <v>3</v>
      </c>
      <c r="D931" s="3" t="s">
        <v>33</v>
      </c>
      <c r="E931" s="3" t="s">
        <v>1700</v>
      </c>
      <c r="F931" s="4">
        <v>43453.624305555553</v>
      </c>
      <c r="G931" s="3" t="s">
        <v>963</v>
      </c>
      <c r="H931" s="3" t="s">
        <v>945</v>
      </c>
      <c r="I931" s="3" t="s">
        <v>7043</v>
      </c>
      <c r="J931" s="3"/>
      <c r="K931" s="3"/>
      <c r="L931" s="5"/>
    </row>
    <row r="932" spans="1:12" ht="43.2" x14ac:dyDescent="0.55000000000000004">
      <c r="A932" s="9" t="str">
        <f>HYPERLINK("PDF\FOIA-FWS-2020-00724-0000931.pdf","FOIA-FWS-2020-00724-0000931")</f>
        <v>FOIA-FWS-2020-00724-0000931</v>
      </c>
      <c r="B932" s="3" t="s">
        <v>1699</v>
      </c>
      <c r="C932" s="3" t="s">
        <v>234</v>
      </c>
      <c r="D932" s="3" t="s">
        <v>33</v>
      </c>
      <c r="E932" s="3" t="s">
        <v>1701</v>
      </c>
      <c r="F932" s="4">
        <v>43453.624305555553</v>
      </c>
      <c r="G932" s="3"/>
      <c r="H932" s="3"/>
      <c r="I932" s="3" t="s">
        <v>7044</v>
      </c>
      <c r="J932" s="3" t="s">
        <v>7046</v>
      </c>
      <c r="K932" s="3" t="s">
        <v>7036</v>
      </c>
      <c r="L932" s="5"/>
    </row>
    <row r="933" spans="1:12" ht="28.8" x14ac:dyDescent="0.55000000000000004">
      <c r="A933" s="9" t="str">
        <f>HYPERLINK("PDF\FOIA-FWS-2020-00724-0000932.pdf","FOIA-FWS-2020-00724-0000932")</f>
        <v>FOIA-FWS-2020-00724-0000932</v>
      </c>
      <c r="B933" s="3" t="s">
        <v>1702</v>
      </c>
      <c r="C933" s="3" t="s">
        <v>3</v>
      </c>
      <c r="D933" s="3" t="s">
        <v>38</v>
      </c>
      <c r="E933" s="3" t="s">
        <v>1703</v>
      </c>
      <c r="F933" s="4">
        <v>43454</v>
      </c>
      <c r="G933" s="3"/>
      <c r="H933" s="3"/>
      <c r="I933" s="3" t="s">
        <v>7043</v>
      </c>
      <c r="J933" s="3"/>
      <c r="K933" s="3"/>
      <c r="L933" s="5"/>
    </row>
    <row r="934" spans="1:12" ht="28.8" x14ac:dyDescent="0.55000000000000004">
      <c r="A934" s="9" t="str">
        <f>HYPERLINK("PDF\FOIA-FWS-2020-00724-0000933.pdf","FOIA-FWS-2020-00724-0000933")</f>
        <v>FOIA-FWS-2020-00724-0000933</v>
      </c>
      <c r="B934" s="3" t="s">
        <v>1704</v>
      </c>
      <c r="C934" s="3" t="s">
        <v>234</v>
      </c>
      <c r="D934" s="3" t="s">
        <v>160</v>
      </c>
      <c r="E934" s="3" t="s">
        <v>1705</v>
      </c>
      <c r="F934" s="4">
        <v>43454</v>
      </c>
      <c r="G934" s="3"/>
      <c r="H934" s="3"/>
      <c r="I934" s="3" t="s">
        <v>7043</v>
      </c>
      <c r="J934" s="3"/>
      <c r="K934" s="3"/>
      <c r="L934" s="5"/>
    </row>
    <row r="935" spans="1:12" ht="28.8" x14ac:dyDescent="0.55000000000000004">
      <c r="A935" s="9" t="str">
        <f>HYPERLINK("PDF\FOIA-FWS-2020-00724-0000934.pdf","FOIA-FWS-2020-00724-0000934")</f>
        <v>FOIA-FWS-2020-00724-0000934</v>
      </c>
      <c r="B935" s="3" t="s">
        <v>1706</v>
      </c>
      <c r="C935" s="3" t="s">
        <v>3</v>
      </c>
      <c r="D935" s="3" t="s">
        <v>33</v>
      </c>
      <c r="E935" s="3" t="s">
        <v>1707</v>
      </c>
      <c r="F935" s="4">
        <v>43454.491666666669</v>
      </c>
      <c r="G935" s="3" t="s">
        <v>985</v>
      </c>
      <c r="H935" s="3" t="s">
        <v>955</v>
      </c>
      <c r="I935" s="3" t="s">
        <v>7043</v>
      </c>
      <c r="J935" s="3"/>
      <c r="K935" s="3"/>
      <c r="L935" s="5"/>
    </row>
    <row r="936" spans="1:12" ht="28.8" x14ac:dyDescent="0.55000000000000004">
      <c r="A936" s="9" t="str">
        <f>HYPERLINK("PDF\FOIA-FWS-2020-00724-0000935.pdf","FOIA-FWS-2020-00724-0000935")</f>
        <v>FOIA-FWS-2020-00724-0000935</v>
      </c>
      <c r="B936" s="3" t="s">
        <v>1708</v>
      </c>
      <c r="C936" s="3" t="s">
        <v>3</v>
      </c>
      <c r="D936" s="3" t="s">
        <v>33</v>
      </c>
      <c r="E936" s="3" t="s">
        <v>1709</v>
      </c>
      <c r="F936" s="4">
        <v>43454.52847222222</v>
      </c>
      <c r="G936" s="3" t="s">
        <v>1069</v>
      </c>
      <c r="H936" s="3" t="s">
        <v>1073</v>
      </c>
      <c r="I936" s="3" t="s">
        <v>7048</v>
      </c>
      <c r="J936" s="3" t="s">
        <v>7050</v>
      </c>
      <c r="K936" s="3" t="s">
        <v>7036</v>
      </c>
      <c r="L936" s="5"/>
    </row>
    <row r="937" spans="1:12" ht="43.2" x14ac:dyDescent="0.55000000000000004">
      <c r="A937" s="9" t="str">
        <f>HYPERLINK("PDF\FOIA-FWS-2020-00724-0000936.pdf","FOIA-FWS-2020-00724-0000936")</f>
        <v>FOIA-FWS-2020-00724-0000936</v>
      </c>
      <c r="B937" s="3" t="s">
        <v>1710</v>
      </c>
      <c r="C937" s="3" t="s">
        <v>3</v>
      </c>
      <c r="D937" s="3" t="s">
        <v>33</v>
      </c>
      <c r="E937" s="3" t="s">
        <v>1711</v>
      </c>
      <c r="F937" s="4">
        <v>43454.786111111112</v>
      </c>
      <c r="G937" s="3" t="s">
        <v>1392</v>
      </c>
      <c r="H937" s="3" t="s">
        <v>963</v>
      </c>
      <c r="I937" s="3" t="s">
        <v>7043</v>
      </c>
      <c r="J937" s="3"/>
      <c r="K937" s="3"/>
      <c r="L937" s="5"/>
    </row>
    <row r="938" spans="1:12" ht="28.8" x14ac:dyDescent="0.55000000000000004">
      <c r="A938" s="9" t="str">
        <f>HYPERLINK("PDF\FOIA-FWS-2020-00724-0000937.pdf","FOIA-FWS-2020-00724-0000937")</f>
        <v>FOIA-FWS-2020-00724-0000937</v>
      </c>
      <c r="B938" s="3" t="s">
        <v>1712</v>
      </c>
      <c r="C938" s="3" t="s">
        <v>234</v>
      </c>
      <c r="D938" s="3" t="s">
        <v>33</v>
      </c>
      <c r="E938" s="3" t="s">
        <v>1713</v>
      </c>
      <c r="F938" s="4">
        <v>43455.310416666667</v>
      </c>
      <c r="G938" s="3"/>
      <c r="H938" s="3"/>
      <c r="I938" s="3" t="s">
        <v>7043</v>
      </c>
      <c r="J938" s="3"/>
      <c r="K938" s="3"/>
      <c r="L938" s="5"/>
    </row>
    <row r="939" spans="1:12" ht="28.8" x14ac:dyDescent="0.55000000000000004">
      <c r="A939" s="9" t="str">
        <f>HYPERLINK("PDF\FOIA-FWS-2020-00724-0000938.pdf","FOIA-FWS-2020-00724-0000938")</f>
        <v>FOIA-FWS-2020-00724-0000938</v>
      </c>
      <c r="B939" s="3" t="s">
        <v>1712</v>
      </c>
      <c r="C939" s="3" t="s">
        <v>234</v>
      </c>
      <c r="D939" s="3" t="s">
        <v>33</v>
      </c>
      <c r="E939" s="3" t="s">
        <v>1714</v>
      </c>
      <c r="F939" s="4">
        <v>43455.310416666667</v>
      </c>
      <c r="G939" s="3"/>
      <c r="H939" s="3"/>
      <c r="I939" s="3" t="s">
        <v>7043</v>
      </c>
      <c r="J939" s="3"/>
      <c r="K939" s="3"/>
      <c r="L939" s="5"/>
    </row>
    <row r="940" spans="1:12" ht="28.8" x14ac:dyDescent="0.55000000000000004">
      <c r="A940" s="9" t="str">
        <f>HYPERLINK("PDF\FOIA-FWS-2020-00724-0000939.pdf","FOIA-FWS-2020-00724-0000939")</f>
        <v>FOIA-FWS-2020-00724-0000939</v>
      </c>
      <c r="B940" s="3" t="s">
        <v>1712</v>
      </c>
      <c r="C940" s="3" t="s">
        <v>3</v>
      </c>
      <c r="D940" s="3" t="s">
        <v>33</v>
      </c>
      <c r="E940" s="3" t="s">
        <v>1717</v>
      </c>
      <c r="F940" s="4">
        <v>43455.310416666667</v>
      </c>
      <c r="G940" s="3" t="s">
        <v>1715</v>
      </c>
      <c r="H940" s="3" t="s">
        <v>1716</v>
      </c>
      <c r="I940" s="3" t="s">
        <v>7043</v>
      </c>
      <c r="J940" s="3"/>
      <c r="K940" s="3"/>
      <c r="L940" s="5"/>
    </row>
    <row r="941" spans="1:12" ht="28.8" x14ac:dyDescent="0.55000000000000004">
      <c r="A941" s="9" t="str">
        <f>HYPERLINK("PDF\FOIA-FWS-2020-00724-0000940.pdf","FOIA-FWS-2020-00724-0000940")</f>
        <v>FOIA-FWS-2020-00724-0000940</v>
      </c>
      <c r="B941" s="3" t="s">
        <v>1718</v>
      </c>
      <c r="C941" s="3" t="s">
        <v>234</v>
      </c>
      <c r="D941" s="3" t="s">
        <v>33</v>
      </c>
      <c r="E941" s="3" t="s">
        <v>1713</v>
      </c>
      <c r="F941" s="4">
        <v>43455.462500000001</v>
      </c>
      <c r="G941" s="3"/>
      <c r="H941" s="3"/>
      <c r="I941" s="3" t="s">
        <v>7043</v>
      </c>
      <c r="J941" s="3"/>
      <c r="K941" s="3"/>
      <c r="L941" s="5"/>
    </row>
    <row r="942" spans="1:12" ht="28.8" x14ac:dyDescent="0.55000000000000004">
      <c r="A942" s="9" t="str">
        <f>HYPERLINK("PDF\FOIA-FWS-2020-00724-0000941.pdf","FOIA-FWS-2020-00724-0000941")</f>
        <v>FOIA-FWS-2020-00724-0000941</v>
      </c>
      <c r="B942" s="3" t="s">
        <v>1718</v>
      </c>
      <c r="C942" s="3" t="s">
        <v>234</v>
      </c>
      <c r="D942" s="3" t="s">
        <v>33</v>
      </c>
      <c r="E942" s="3" t="s">
        <v>1714</v>
      </c>
      <c r="F942" s="4">
        <v>43455.462500000001</v>
      </c>
      <c r="G942" s="3"/>
      <c r="H942" s="3"/>
      <c r="I942" s="3" t="s">
        <v>7043</v>
      </c>
      <c r="J942" s="3"/>
      <c r="K942" s="3"/>
      <c r="L942" s="5"/>
    </row>
    <row r="943" spans="1:12" ht="28.8" x14ac:dyDescent="0.55000000000000004">
      <c r="A943" s="9" t="str">
        <f>HYPERLINK("PDF\FOIA-FWS-2020-00724-0000942.pdf","FOIA-FWS-2020-00724-0000942")</f>
        <v>FOIA-FWS-2020-00724-0000942</v>
      </c>
      <c r="B943" s="3" t="s">
        <v>1718</v>
      </c>
      <c r="C943" s="3" t="s">
        <v>3</v>
      </c>
      <c r="D943" s="3" t="s">
        <v>33</v>
      </c>
      <c r="E943" s="3" t="s">
        <v>1721</v>
      </c>
      <c r="F943" s="4">
        <v>43455.462500000001</v>
      </c>
      <c r="G943" s="3" t="s">
        <v>1719</v>
      </c>
      <c r="H943" s="3" t="s">
        <v>1720</v>
      </c>
      <c r="I943" s="3" t="s">
        <v>7043</v>
      </c>
      <c r="J943" s="3"/>
      <c r="K943" s="3"/>
      <c r="L943" s="5"/>
    </row>
    <row r="944" spans="1:12" ht="28.8" x14ac:dyDescent="0.55000000000000004">
      <c r="A944" s="9" t="str">
        <f>HYPERLINK("PDF\FOIA-FWS-2020-00724-0000943.pdf","FOIA-FWS-2020-00724-0000943")</f>
        <v>FOIA-FWS-2020-00724-0000943</v>
      </c>
      <c r="B944" s="3" t="s">
        <v>1722</v>
      </c>
      <c r="C944" s="3" t="s">
        <v>3</v>
      </c>
      <c r="D944" s="3" t="s">
        <v>33</v>
      </c>
      <c r="E944" s="3" t="s">
        <v>1724</v>
      </c>
      <c r="F944" s="4">
        <v>43455.506944444445</v>
      </c>
      <c r="G944" s="3" t="s">
        <v>1012</v>
      </c>
      <c r="H944" s="3" t="s">
        <v>1723</v>
      </c>
      <c r="I944" s="3" t="s">
        <v>7043</v>
      </c>
      <c r="J944" s="3"/>
      <c r="K944" s="3"/>
      <c r="L944" s="5"/>
    </row>
    <row r="945" spans="1:12" ht="28.8" x14ac:dyDescent="0.55000000000000004">
      <c r="A945" s="9" t="str">
        <f>HYPERLINK("PDF\FOIA-FWS-2020-00724-0000944.pdf","FOIA-FWS-2020-00724-0000944")</f>
        <v>FOIA-FWS-2020-00724-0000944</v>
      </c>
      <c r="B945" s="3" t="s">
        <v>1722</v>
      </c>
      <c r="C945" s="3" t="s">
        <v>234</v>
      </c>
      <c r="D945" s="3" t="s">
        <v>33</v>
      </c>
      <c r="E945" s="3" t="s">
        <v>1713</v>
      </c>
      <c r="F945" s="4">
        <v>43455.506944444445</v>
      </c>
      <c r="G945" s="3"/>
      <c r="H945" s="3"/>
      <c r="I945" s="3" t="s">
        <v>7043</v>
      </c>
      <c r="J945" s="3"/>
      <c r="K945" s="3"/>
      <c r="L945" s="5"/>
    </row>
    <row r="946" spans="1:12" ht="28.8" x14ac:dyDescent="0.55000000000000004">
      <c r="A946" s="9" t="str">
        <f>HYPERLINK("PDF\FOIA-FWS-2020-00724-0000945.pdf","FOIA-FWS-2020-00724-0000945")</f>
        <v>FOIA-FWS-2020-00724-0000945</v>
      </c>
      <c r="B946" s="3" t="s">
        <v>1722</v>
      </c>
      <c r="C946" s="3" t="s">
        <v>234</v>
      </c>
      <c r="D946" s="3" t="s">
        <v>33</v>
      </c>
      <c r="E946" s="3" t="s">
        <v>1714</v>
      </c>
      <c r="F946" s="4">
        <v>43455.506944444445</v>
      </c>
      <c r="G946" s="3"/>
      <c r="H946" s="3"/>
      <c r="I946" s="3" t="s">
        <v>7043</v>
      </c>
      <c r="J946" s="3"/>
      <c r="K946" s="3"/>
      <c r="L946" s="5"/>
    </row>
    <row r="947" spans="1:12" ht="28.8" x14ac:dyDescent="0.55000000000000004">
      <c r="A947" s="9" t="str">
        <f>HYPERLINK("PDF\FOIA-FWS-2020-00724-0000946.pdf","FOIA-FWS-2020-00724-0000946")</f>
        <v>FOIA-FWS-2020-00724-0000946</v>
      </c>
      <c r="B947" s="3" t="s">
        <v>1722</v>
      </c>
      <c r="C947" s="3" t="s">
        <v>234</v>
      </c>
      <c r="D947" s="3" t="s">
        <v>33</v>
      </c>
      <c r="E947" s="3" t="s">
        <v>1725</v>
      </c>
      <c r="F947" s="4">
        <v>43455.506944444445</v>
      </c>
      <c r="G947" s="3"/>
      <c r="H947" s="3"/>
      <c r="I947" s="3" t="s">
        <v>7043</v>
      </c>
      <c r="J947" s="3"/>
      <c r="K947" s="3"/>
      <c r="L947" s="5" t="str">
        <f>HYPERLINK("NATIVE_FILES\FOIA-FWS-2020-00724-0000946.htm","FOIA-FWS-2020-00724-0000946.htm")</f>
        <v>FOIA-FWS-2020-00724-0000946.htm</v>
      </c>
    </row>
    <row r="948" spans="1:12" ht="43.2" x14ac:dyDescent="0.55000000000000004">
      <c r="A948" s="9" t="str">
        <f>HYPERLINK("PDF\FOIA-FWS-2020-00724-0000947.pdf","FOIA-FWS-2020-00724-0000947")</f>
        <v>FOIA-FWS-2020-00724-0000947</v>
      </c>
      <c r="B948" s="3" t="s">
        <v>1726</v>
      </c>
      <c r="C948" s="3" t="s">
        <v>3</v>
      </c>
      <c r="D948" s="3" t="s">
        <v>33</v>
      </c>
      <c r="E948" s="3" t="s">
        <v>1711</v>
      </c>
      <c r="F948" s="4">
        <v>43455.515277777777</v>
      </c>
      <c r="G948" s="3" t="s">
        <v>1392</v>
      </c>
      <c r="H948" s="3" t="s">
        <v>945</v>
      </c>
      <c r="I948" s="3" t="s">
        <v>7043</v>
      </c>
      <c r="J948" s="3"/>
      <c r="K948" s="3"/>
      <c r="L948" s="5"/>
    </row>
    <row r="949" spans="1:12" ht="28.8" x14ac:dyDescent="0.55000000000000004">
      <c r="A949" s="9" t="str">
        <f>HYPERLINK("PDF\FOIA-FWS-2020-00724-0000948.pdf","FOIA-FWS-2020-00724-0000948")</f>
        <v>FOIA-FWS-2020-00724-0000948</v>
      </c>
      <c r="B949" s="3" t="s">
        <v>1727</v>
      </c>
      <c r="C949" s="3" t="s">
        <v>3</v>
      </c>
      <c r="D949" s="3" t="s">
        <v>33</v>
      </c>
      <c r="E949" s="3" t="s">
        <v>1728</v>
      </c>
      <c r="F949" s="4">
        <v>43455.530555555553</v>
      </c>
      <c r="G949" s="3" t="s">
        <v>1012</v>
      </c>
      <c r="H949" s="3" t="s">
        <v>1024</v>
      </c>
      <c r="I949" s="3" t="s">
        <v>7043</v>
      </c>
      <c r="J949" s="3"/>
      <c r="K949" s="3"/>
      <c r="L949" s="5"/>
    </row>
    <row r="950" spans="1:12" ht="28.8" x14ac:dyDescent="0.55000000000000004">
      <c r="A950" s="9" t="str">
        <f>HYPERLINK("PDF\FOIA-FWS-2020-00724-0000949.pdf","FOIA-FWS-2020-00724-0000949")</f>
        <v>FOIA-FWS-2020-00724-0000949</v>
      </c>
      <c r="B950" s="3" t="s">
        <v>1729</v>
      </c>
      <c r="C950" s="3" t="s">
        <v>3</v>
      </c>
      <c r="D950" s="3" t="s">
        <v>33</v>
      </c>
      <c r="E950" s="3" t="s">
        <v>1731</v>
      </c>
      <c r="F950" s="4">
        <v>43455.614583333336</v>
      </c>
      <c r="G950" s="3" t="s">
        <v>1730</v>
      </c>
      <c r="H950" s="3" t="s">
        <v>955</v>
      </c>
      <c r="I950" s="3" t="s">
        <v>7043</v>
      </c>
      <c r="J950" s="3"/>
      <c r="K950" s="3"/>
      <c r="L950" s="5"/>
    </row>
    <row r="951" spans="1:12" ht="28.8" x14ac:dyDescent="0.55000000000000004">
      <c r="A951" s="9" t="str">
        <f>HYPERLINK("PDF\FOIA-FWS-2020-00724-0000950.pdf","FOIA-FWS-2020-00724-0000950")</f>
        <v>FOIA-FWS-2020-00724-0000950</v>
      </c>
      <c r="B951" s="3" t="s">
        <v>1729</v>
      </c>
      <c r="C951" s="3" t="s">
        <v>234</v>
      </c>
      <c r="D951" s="3" t="s">
        <v>160</v>
      </c>
      <c r="E951" s="3" t="s">
        <v>1732</v>
      </c>
      <c r="F951" s="4">
        <v>43455.614583333336</v>
      </c>
      <c r="G951" s="3"/>
      <c r="H951" s="3"/>
      <c r="I951" s="3" t="s">
        <v>7043</v>
      </c>
      <c r="J951" s="3"/>
      <c r="K951" s="3"/>
      <c r="L951" s="5"/>
    </row>
    <row r="952" spans="1:12" ht="28.8" x14ac:dyDescent="0.55000000000000004">
      <c r="A952" s="9" t="str">
        <f>HYPERLINK("PDF\FOIA-FWS-2020-00724-0000951.pdf","FOIA-FWS-2020-00724-0000951")</f>
        <v>FOIA-FWS-2020-00724-0000951</v>
      </c>
      <c r="B952" s="3" t="s">
        <v>1733</v>
      </c>
      <c r="C952" s="3" t="s">
        <v>3</v>
      </c>
      <c r="D952" s="3" t="s">
        <v>33</v>
      </c>
      <c r="E952" s="3" t="s">
        <v>1734</v>
      </c>
      <c r="F952" s="4">
        <v>43455.853472222225</v>
      </c>
      <c r="G952" s="3" t="s">
        <v>1069</v>
      </c>
      <c r="H952" s="3" t="s">
        <v>1070</v>
      </c>
      <c r="I952" s="3" t="s">
        <v>7043</v>
      </c>
      <c r="J952" s="3"/>
      <c r="K952" s="3"/>
      <c r="L952" s="5"/>
    </row>
    <row r="953" spans="1:12" ht="28.8" x14ac:dyDescent="0.55000000000000004">
      <c r="A953" s="9" t="str">
        <f>HYPERLINK("PDF\FOIA-FWS-2020-00724-0000952.pdf","FOIA-FWS-2020-00724-0000952")</f>
        <v>FOIA-FWS-2020-00724-0000952</v>
      </c>
      <c r="B953" s="3" t="s">
        <v>1733</v>
      </c>
      <c r="C953" s="3" t="s">
        <v>234</v>
      </c>
      <c r="D953" s="3" t="s">
        <v>160</v>
      </c>
      <c r="E953" s="3" t="s">
        <v>1735</v>
      </c>
      <c r="F953" s="4">
        <v>43455.853472222225</v>
      </c>
      <c r="G953" s="3"/>
      <c r="H953" s="3"/>
      <c r="I953" s="3" t="s">
        <v>7043</v>
      </c>
      <c r="J953" s="3"/>
      <c r="K953" s="3"/>
      <c r="L953" s="5" t="str">
        <f>HYPERLINK("NATIVE_FILES\FOIA-FWS-2020-00724-0000952.xlsx","FOIA-FWS-2020-00724-0000952.xlsx")</f>
        <v>FOIA-FWS-2020-00724-0000952.xlsx</v>
      </c>
    </row>
    <row r="954" spans="1:12" ht="28.8" x14ac:dyDescent="0.55000000000000004">
      <c r="A954" s="9" t="str">
        <f>HYPERLINK("PDF\FOIA-FWS-2020-00724-0000953.pdf","FOIA-FWS-2020-00724-0000953")</f>
        <v>FOIA-FWS-2020-00724-0000953</v>
      </c>
      <c r="B954" s="3" t="s">
        <v>1733</v>
      </c>
      <c r="C954" s="3" t="s">
        <v>234</v>
      </c>
      <c r="D954" s="3" t="s">
        <v>160</v>
      </c>
      <c r="E954" s="3" t="s">
        <v>1736</v>
      </c>
      <c r="F954" s="4">
        <v>43455.853472222225</v>
      </c>
      <c r="G954" s="3"/>
      <c r="H954" s="3"/>
      <c r="I954" s="3" t="s">
        <v>7043</v>
      </c>
      <c r="J954" s="3"/>
      <c r="K954" s="3"/>
      <c r="L954" s="5" t="str">
        <f>HYPERLINK("NATIVE_FILES\FOIA-FWS-2020-00724-0000953.xlsx","FOIA-FWS-2020-00724-0000953.xlsx")</f>
        <v>FOIA-FWS-2020-00724-0000953.xlsx</v>
      </c>
    </row>
    <row r="955" spans="1:12" ht="28.8" x14ac:dyDescent="0.55000000000000004">
      <c r="A955" s="9" t="str">
        <f>HYPERLINK("PDF\FOIA-FWS-2020-00724-0000954.pdf","FOIA-FWS-2020-00724-0000954")</f>
        <v>FOIA-FWS-2020-00724-0000954</v>
      </c>
      <c r="B955" s="3" t="s">
        <v>1733</v>
      </c>
      <c r="C955" s="3" t="s">
        <v>234</v>
      </c>
      <c r="D955" s="3" t="s">
        <v>160</v>
      </c>
      <c r="E955" s="3" t="s">
        <v>1737</v>
      </c>
      <c r="F955" s="4">
        <v>43455.853472222225</v>
      </c>
      <c r="G955" s="3"/>
      <c r="H955" s="3"/>
      <c r="I955" s="3" t="s">
        <v>7043</v>
      </c>
      <c r="J955" s="3"/>
      <c r="K955" s="3"/>
      <c r="L955" s="5" t="str">
        <f>HYPERLINK("NATIVE_FILES\FOIA-FWS-2020-00724-0000954.xlsx","FOIA-FWS-2020-00724-0000954.xlsx")</f>
        <v>FOIA-FWS-2020-00724-0000954.xlsx</v>
      </c>
    </row>
    <row r="956" spans="1:12" ht="28.8" x14ac:dyDescent="0.55000000000000004">
      <c r="A956" s="9" t="str">
        <f>HYPERLINK("PDF\FOIA-FWS-2020-00724-0000955.pdf","FOIA-FWS-2020-00724-0000955")</f>
        <v>FOIA-FWS-2020-00724-0000955</v>
      </c>
      <c r="B956" s="3" t="s">
        <v>1733</v>
      </c>
      <c r="C956" s="3" t="s">
        <v>234</v>
      </c>
      <c r="D956" s="3" t="s">
        <v>160</v>
      </c>
      <c r="E956" s="3" t="s">
        <v>1738</v>
      </c>
      <c r="F956" s="4">
        <v>43455.853472222225</v>
      </c>
      <c r="G956" s="3"/>
      <c r="H956" s="3"/>
      <c r="I956" s="3" t="s">
        <v>7043</v>
      </c>
      <c r="J956" s="3"/>
      <c r="K956" s="3"/>
      <c r="L956" s="5" t="str">
        <f>HYPERLINK("NATIVE_FILES\FOIA-FWS-2020-00724-0000955.xlsx","FOIA-FWS-2020-00724-0000955.xlsx")</f>
        <v>FOIA-FWS-2020-00724-0000955.xlsx</v>
      </c>
    </row>
    <row r="957" spans="1:12" ht="28.8" x14ac:dyDescent="0.55000000000000004">
      <c r="A957" s="9" t="str">
        <f>HYPERLINK("PDF\FOIA-FWS-2020-00724-0000956.pdf","FOIA-FWS-2020-00724-0000956")</f>
        <v>FOIA-FWS-2020-00724-0000956</v>
      </c>
      <c r="B957" s="3" t="s">
        <v>1733</v>
      </c>
      <c r="C957" s="3" t="s">
        <v>234</v>
      </c>
      <c r="D957" s="3" t="s">
        <v>160</v>
      </c>
      <c r="E957" s="3" t="s">
        <v>1739</v>
      </c>
      <c r="F957" s="4">
        <v>43455.853472222225</v>
      </c>
      <c r="G957" s="3"/>
      <c r="H957" s="3"/>
      <c r="I957" s="3" t="s">
        <v>7043</v>
      </c>
      <c r="J957" s="3"/>
      <c r="K957" s="3"/>
      <c r="L957" s="5" t="str">
        <f>HYPERLINK("NATIVE_FILES\FOIA-FWS-2020-00724-0000956.xlsx","FOIA-FWS-2020-00724-0000956.xlsx")</f>
        <v>FOIA-FWS-2020-00724-0000956.xlsx</v>
      </c>
    </row>
    <row r="958" spans="1:12" ht="28.8" x14ac:dyDescent="0.55000000000000004">
      <c r="A958" s="9" t="str">
        <f>HYPERLINK("PDF\FOIA-FWS-2020-00724-0000957.pdf","FOIA-FWS-2020-00724-0000957")</f>
        <v>FOIA-FWS-2020-00724-0000957</v>
      </c>
      <c r="B958" s="3" t="s">
        <v>1733</v>
      </c>
      <c r="C958" s="3" t="s">
        <v>234</v>
      </c>
      <c r="D958" s="3" t="s">
        <v>160</v>
      </c>
      <c r="E958" s="3" t="s">
        <v>1740</v>
      </c>
      <c r="F958" s="4">
        <v>43455.853472222225</v>
      </c>
      <c r="G958" s="3"/>
      <c r="H958" s="3"/>
      <c r="I958" s="3" t="s">
        <v>7043</v>
      </c>
      <c r="J958" s="3"/>
      <c r="K958" s="3"/>
      <c r="L958" s="5" t="str">
        <f>HYPERLINK("NATIVE_FILES\FOIA-FWS-2020-00724-0000957.xlsx","FOIA-FWS-2020-00724-0000957.xlsx")</f>
        <v>FOIA-FWS-2020-00724-0000957.xlsx</v>
      </c>
    </row>
    <row r="959" spans="1:12" ht="28.8" x14ac:dyDescent="0.55000000000000004">
      <c r="A959" s="9" t="str">
        <f>HYPERLINK("PDF\FOIA-FWS-2020-00724-0000958.pdf","FOIA-FWS-2020-00724-0000958")</f>
        <v>FOIA-FWS-2020-00724-0000958</v>
      </c>
      <c r="B959" s="3" t="s">
        <v>1733</v>
      </c>
      <c r="C959" s="3" t="s">
        <v>234</v>
      </c>
      <c r="D959" s="3" t="s">
        <v>160</v>
      </c>
      <c r="E959" s="3" t="s">
        <v>1265</v>
      </c>
      <c r="F959" s="4">
        <v>43455.853472222225</v>
      </c>
      <c r="G959" s="3"/>
      <c r="H959" s="3"/>
      <c r="I959" s="3" t="s">
        <v>7043</v>
      </c>
      <c r="J959" s="3"/>
      <c r="K959" s="3"/>
      <c r="L959" s="5" t="str">
        <f>HYPERLINK("NATIVE_FILES\FOIA-FWS-2020-00724-0000958.xlsx","FOIA-FWS-2020-00724-0000958.xlsx")</f>
        <v>FOIA-FWS-2020-00724-0000958.xlsx</v>
      </c>
    </row>
    <row r="960" spans="1:12" ht="28.8" x14ac:dyDescent="0.55000000000000004">
      <c r="A960" s="9" t="str">
        <f>HYPERLINK("PDF\FOIA-FWS-2020-00724-0000959.pdf","FOIA-FWS-2020-00724-0000959")</f>
        <v>FOIA-FWS-2020-00724-0000959</v>
      </c>
      <c r="B960" s="3" t="s">
        <v>1741</v>
      </c>
      <c r="C960" s="3" t="s">
        <v>3</v>
      </c>
      <c r="D960" s="3" t="s">
        <v>33</v>
      </c>
      <c r="E960" s="3" t="s">
        <v>1742</v>
      </c>
      <c r="F960" s="4">
        <v>43460.451388888891</v>
      </c>
      <c r="G960" s="3" t="s">
        <v>985</v>
      </c>
      <c r="H960" s="3" t="s">
        <v>963</v>
      </c>
      <c r="I960" s="3" t="s">
        <v>7043</v>
      </c>
      <c r="J960" s="3"/>
      <c r="K960" s="3"/>
      <c r="L960" s="5"/>
    </row>
    <row r="961" spans="1:12" ht="28.8" x14ac:dyDescent="0.55000000000000004">
      <c r="A961" s="9" t="str">
        <f>HYPERLINK("PDF\FOIA-FWS-2020-00724-0000960.pdf","FOIA-FWS-2020-00724-0000960")</f>
        <v>FOIA-FWS-2020-00724-0000960</v>
      </c>
      <c r="B961" s="3" t="s">
        <v>1743</v>
      </c>
      <c r="C961" s="3" t="s">
        <v>3</v>
      </c>
      <c r="D961" s="3" t="s">
        <v>33</v>
      </c>
      <c r="E961" s="3" t="s">
        <v>1744</v>
      </c>
      <c r="F961" s="4">
        <v>43460.543749999997</v>
      </c>
      <c r="G961" s="3" t="s">
        <v>985</v>
      </c>
      <c r="H961" s="3" t="s">
        <v>963</v>
      </c>
      <c r="I961" s="3" t="s">
        <v>7043</v>
      </c>
      <c r="J961" s="3"/>
      <c r="K961" s="3"/>
      <c r="L961" s="5"/>
    </row>
    <row r="962" spans="1:12" ht="28.8" x14ac:dyDescent="0.55000000000000004">
      <c r="A962" s="9" t="str">
        <f>HYPERLINK("PDF\FOIA-FWS-2020-00724-0000961.pdf","FOIA-FWS-2020-00724-0000961")</f>
        <v>FOIA-FWS-2020-00724-0000961</v>
      </c>
      <c r="B962" s="3" t="s">
        <v>1745</v>
      </c>
      <c r="C962" s="3" t="s">
        <v>3</v>
      </c>
      <c r="D962" s="3" t="s">
        <v>33</v>
      </c>
      <c r="E962" s="3" t="s">
        <v>1746</v>
      </c>
      <c r="F962" s="4">
        <v>43460.559027777781</v>
      </c>
      <c r="G962" s="3" t="s">
        <v>1489</v>
      </c>
      <c r="H962" s="3" t="s">
        <v>985</v>
      </c>
      <c r="I962" s="3" t="s">
        <v>7043</v>
      </c>
      <c r="J962" s="3"/>
      <c r="K962" s="3"/>
      <c r="L962" s="5"/>
    </row>
    <row r="963" spans="1:12" ht="28.8" x14ac:dyDescent="0.55000000000000004">
      <c r="A963" s="9" t="str">
        <f>HYPERLINK("PDF\FOIA-FWS-2020-00724-0000962.pdf","FOIA-FWS-2020-00724-0000962")</f>
        <v>FOIA-FWS-2020-00724-0000962</v>
      </c>
      <c r="B963" s="3" t="s">
        <v>1747</v>
      </c>
      <c r="C963" s="3" t="s">
        <v>3</v>
      </c>
      <c r="D963" s="3" t="s">
        <v>33</v>
      </c>
      <c r="E963" s="3" t="s">
        <v>1748</v>
      </c>
      <c r="F963" s="4">
        <v>43462</v>
      </c>
      <c r="G963" s="3"/>
      <c r="H963" s="3"/>
      <c r="I963" s="3" t="s">
        <v>7043</v>
      </c>
      <c r="J963" s="3"/>
      <c r="K963" s="3"/>
      <c r="L963" s="5"/>
    </row>
    <row r="964" spans="1:12" ht="28.8" x14ac:dyDescent="0.55000000000000004">
      <c r="A964" s="9" t="str">
        <f>HYPERLINK("PDF\FOIA-FWS-2020-00724-0000963.pdf","FOIA-FWS-2020-00724-0000963")</f>
        <v>FOIA-FWS-2020-00724-0000963</v>
      </c>
      <c r="B964" s="3" t="s">
        <v>1749</v>
      </c>
      <c r="C964" s="3" t="s">
        <v>3</v>
      </c>
      <c r="D964" s="3" t="s">
        <v>33</v>
      </c>
      <c r="E964" s="3" t="s">
        <v>1750</v>
      </c>
      <c r="F964" s="4">
        <v>43464</v>
      </c>
      <c r="G964" s="3"/>
      <c r="H964" s="3"/>
      <c r="I964" s="3" t="s">
        <v>7043</v>
      </c>
      <c r="J964" s="3"/>
      <c r="K964" s="3"/>
      <c r="L964" s="5"/>
    </row>
    <row r="965" spans="1:12" ht="28.8" x14ac:dyDescent="0.55000000000000004">
      <c r="A965" s="9" t="str">
        <f>HYPERLINK("PDF\FOIA-FWS-2020-00724-0000964.pdf","FOIA-FWS-2020-00724-0000964")</f>
        <v>FOIA-FWS-2020-00724-0000964</v>
      </c>
      <c r="B965" s="3" t="s">
        <v>1751</v>
      </c>
      <c r="C965" s="3" t="s">
        <v>3</v>
      </c>
      <c r="D965" s="3" t="s">
        <v>33</v>
      </c>
      <c r="E965" s="3" t="s">
        <v>1752</v>
      </c>
      <c r="F965" s="4">
        <v>43466</v>
      </c>
      <c r="G965" s="3"/>
      <c r="H965" s="3"/>
      <c r="I965" s="3" t="s">
        <v>7043</v>
      </c>
      <c r="J965" s="3"/>
      <c r="K965" s="3"/>
      <c r="L965" s="5"/>
    </row>
    <row r="966" spans="1:12" ht="28.8" x14ac:dyDescent="0.55000000000000004">
      <c r="A966" s="9" t="str">
        <f>HYPERLINK("PDF\FOIA-FWS-2020-00724-0000965.pdf","FOIA-FWS-2020-00724-0000965")</f>
        <v>FOIA-FWS-2020-00724-0000965</v>
      </c>
      <c r="B966" s="3" t="s">
        <v>1753</v>
      </c>
      <c r="C966" s="3" t="s">
        <v>3</v>
      </c>
      <c r="D966" s="3" t="s">
        <v>33</v>
      </c>
      <c r="E966" s="3" t="s">
        <v>1754</v>
      </c>
      <c r="F966" s="4">
        <v>43466</v>
      </c>
      <c r="G966" s="3"/>
      <c r="H966" s="3"/>
      <c r="I966" s="3" t="s">
        <v>7043</v>
      </c>
      <c r="J966" s="3"/>
      <c r="K966" s="3"/>
      <c r="L966" s="5"/>
    </row>
    <row r="967" spans="1:12" ht="28.8" x14ac:dyDescent="0.55000000000000004">
      <c r="A967" s="9" t="str">
        <f>HYPERLINK("PDF\FOIA-FWS-2020-00724-0000966.pdf","FOIA-FWS-2020-00724-0000966")</f>
        <v>FOIA-FWS-2020-00724-0000966</v>
      </c>
      <c r="B967" s="3" t="s">
        <v>1755</v>
      </c>
      <c r="C967" s="3" t="s">
        <v>3</v>
      </c>
      <c r="D967" s="3" t="s">
        <v>4</v>
      </c>
      <c r="E967" s="3" t="s">
        <v>1756</v>
      </c>
      <c r="F967" s="4">
        <v>43466</v>
      </c>
      <c r="G967" s="3"/>
      <c r="H967" s="3"/>
      <c r="I967" s="3" t="s">
        <v>7043</v>
      </c>
      <c r="J967" s="3"/>
      <c r="K967" s="3"/>
      <c r="L967" s="5"/>
    </row>
    <row r="968" spans="1:12" ht="28.8" x14ac:dyDescent="0.55000000000000004">
      <c r="A968" s="9" t="str">
        <f>HYPERLINK("PDF\FOIA-FWS-2020-00724-0000967.pdf","FOIA-FWS-2020-00724-0000967")</f>
        <v>FOIA-FWS-2020-00724-0000967</v>
      </c>
      <c r="B968" s="3" t="s">
        <v>1757</v>
      </c>
      <c r="C968" s="3" t="s">
        <v>3</v>
      </c>
      <c r="D968" s="3" t="s">
        <v>33</v>
      </c>
      <c r="E968" s="3" t="s">
        <v>1758</v>
      </c>
      <c r="F968" s="4">
        <v>43466</v>
      </c>
      <c r="G968" s="3"/>
      <c r="H968" s="3"/>
      <c r="I968" s="3" t="s">
        <v>7043</v>
      </c>
      <c r="J968" s="3"/>
      <c r="K968" s="3"/>
      <c r="L968" s="5"/>
    </row>
    <row r="969" spans="1:12" ht="28.8" x14ac:dyDescent="0.55000000000000004">
      <c r="A969" s="9" t="str">
        <f>HYPERLINK("PDF\FOIA-FWS-2020-00724-0000968.pdf","FOIA-FWS-2020-00724-0000968")</f>
        <v>FOIA-FWS-2020-00724-0000968</v>
      </c>
      <c r="B969" s="3" t="s">
        <v>1759</v>
      </c>
      <c r="C969" s="3" t="s">
        <v>3</v>
      </c>
      <c r="D969" s="3" t="s">
        <v>33</v>
      </c>
      <c r="E969" s="3" t="s">
        <v>1760</v>
      </c>
      <c r="F969" s="4">
        <v>43466</v>
      </c>
      <c r="G969" s="3"/>
      <c r="H969" s="3"/>
      <c r="I969" s="3" t="s">
        <v>7043</v>
      </c>
      <c r="J969" s="3"/>
      <c r="K969" s="3"/>
      <c r="L969" s="5"/>
    </row>
    <row r="970" spans="1:12" ht="28.8" x14ac:dyDescent="0.55000000000000004">
      <c r="A970" s="9" t="str">
        <f>HYPERLINK("PDF\FOIA-FWS-2020-00724-0000969.pdf","FOIA-FWS-2020-00724-0000969")</f>
        <v>FOIA-FWS-2020-00724-0000969</v>
      </c>
      <c r="B970" s="3" t="s">
        <v>1761</v>
      </c>
      <c r="C970" s="3" t="s">
        <v>3</v>
      </c>
      <c r="D970" s="3" t="s">
        <v>4</v>
      </c>
      <c r="E970" s="3" t="s">
        <v>1762</v>
      </c>
      <c r="F970" s="4">
        <v>43466</v>
      </c>
      <c r="G970" s="3"/>
      <c r="H970" s="3"/>
      <c r="I970" s="3" t="s">
        <v>7043</v>
      </c>
      <c r="J970" s="3"/>
      <c r="K970" s="3"/>
      <c r="L970" s="5"/>
    </row>
    <row r="971" spans="1:12" ht="28.8" x14ac:dyDescent="0.55000000000000004">
      <c r="A971" s="9" t="str">
        <f>HYPERLINK("PDF\FOIA-FWS-2020-00724-0000970.pdf","FOIA-FWS-2020-00724-0000970")</f>
        <v>FOIA-FWS-2020-00724-0000970</v>
      </c>
      <c r="B971" s="3" t="s">
        <v>1763</v>
      </c>
      <c r="C971" s="3" t="s">
        <v>3</v>
      </c>
      <c r="D971" s="3" t="s">
        <v>4</v>
      </c>
      <c r="E971" s="3" t="s">
        <v>1764</v>
      </c>
      <c r="F971" s="4">
        <v>43466</v>
      </c>
      <c r="G971" s="3"/>
      <c r="H971" s="3"/>
      <c r="I971" s="3" t="s">
        <v>7043</v>
      </c>
      <c r="J971" s="3"/>
      <c r="K971" s="3"/>
      <c r="L971" s="5"/>
    </row>
    <row r="972" spans="1:12" ht="28.8" x14ac:dyDescent="0.55000000000000004">
      <c r="A972" s="9" t="str">
        <f>HYPERLINK("PDF\FOIA-FWS-2020-00724-0000971.pdf","FOIA-FWS-2020-00724-0000971")</f>
        <v>FOIA-FWS-2020-00724-0000971</v>
      </c>
      <c r="B972" s="3" t="s">
        <v>1765</v>
      </c>
      <c r="C972" s="3" t="s">
        <v>3</v>
      </c>
      <c r="D972" s="3" t="s">
        <v>4</v>
      </c>
      <c r="E972" s="3" t="s">
        <v>1766</v>
      </c>
      <c r="F972" s="4">
        <v>43466</v>
      </c>
      <c r="G972" s="3"/>
      <c r="H972" s="3"/>
      <c r="I972" s="3" t="s">
        <v>7043</v>
      </c>
      <c r="J972" s="3"/>
      <c r="K972" s="3"/>
      <c r="L972" s="5"/>
    </row>
    <row r="973" spans="1:12" ht="28.8" x14ac:dyDescent="0.55000000000000004">
      <c r="A973" s="9" t="str">
        <f>HYPERLINK("PDF\FOIA-FWS-2020-00724-0000972.pdf","FOIA-FWS-2020-00724-0000972")</f>
        <v>FOIA-FWS-2020-00724-0000972</v>
      </c>
      <c r="B973" s="3" t="s">
        <v>1767</v>
      </c>
      <c r="C973" s="3" t="s">
        <v>3</v>
      </c>
      <c r="D973" s="3" t="s">
        <v>160</v>
      </c>
      <c r="E973" s="3" t="s">
        <v>1768</v>
      </c>
      <c r="F973" s="4">
        <v>43466</v>
      </c>
      <c r="G973" s="3"/>
      <c r="H973" s="3"/>
      <c r="I973" s="3" t="s">
        <v>7043</v>
      </c>
      <c r="J973" s="3"/>
      <c r="K973" s="3"/>
      <c r="L973" s="5"/>
    </row>
    <row r="974" spans="1:12" ht="28.8" x14ac:dyDescent="0.55000000000000004">
      <c r="A974" s="9" t="str">
        <f>HYPERLINK("PDF\FOIA-FWS-2020-00724-0000973.pdf","FOIA-FWS-2020-00724-0000973")</f>
        <v>FOIA-FWS-2020-00724-0000973</v>
      </c>
      <c r="B974" s="3" t="s">
        <v>1769</v>
      </c>
      <c r="C974" s="3" t="s">
        <v>3</v>
      </c>
      <c r="D974" s="3" t="s">
        <v>4</v>
      </c>
      <c r="E974" s="3" t="s">
        <v>1770</v>
      </c>
      <c r="F974" s="4">
        <v>43466</v>
      </c>
      <c r="G974" s="3"/>
      <c r="H974" s="3"/>
      <c r="I974" s="3" t="s">
        <v>7043</v>
      </c>
      <c r="J974" s="3"/>
      <c r="K974" s="3"/>
      <c r="L974" s="5"/>
    </row>
    <row r="975" spans="1:12" ht="43.2" x14ac:dyDescent="0.55000000000000004">
      <c r="A975" s="9" t="str">
        <f>HYPERLINK("PDF\FOIA-FWS-2020-00724-0000974.pdf","FOIA-FWS-2020-00724-0000974")</f>
        <v>FOIA-FWS-2020-00724-0000974</v>
      </c>
      <c r="B975" s="3" t="s">
        <v>1771</v>
      </c>
      <c r="C975" s="3" t="s">
        <v>3</v>
      </c>
      <c r="D975" s="3" t="s">
        <v>33</v>
      </c>
      <c r="E975" s="3" t="s">
        <v>1773</v>
      </c>
      <c r="F975" s="4">
        <v>43471.67291666667</v>
      </c>
      <c r="G975" s="3" t="s">
        <v>1772</v>
      </c>
      <c r="H975" s="3" t="s">
        <v>955</v>
      </c>
      <c r="I975" s="3" t="s">
        <v>7043</v>
      </c>
      <c r="J975" s="3"/>
      <c r="K975" s="3"/>
      <c r="L975" s="5"/>
    </row>
    <row r="976" spans="1:12" ht="28.8" x14ac:dyDescent="0.55000000000000004">
      <c r="A976" s="9" t="str">
        <f>HYPERLINK("PDF\FOIA-FWS-2020-00724-0000975.pdf","FOIA-FWS-2020-00724-0000975")</f>
        <v>FOIA-FWS-2020-00724-0000975</v>
      </c>
      <c r="B976" s="3" t="s">
        <v>1771</v>
      </c>
      <c r="C976" s="3" t="s">
        <v>234</v>
      </c>
      <c r="D976" s="3" t="s">
        <v>4</v>
      </c>
      <c r="E976" s="3" t="s">
        <v>1774</v>
      </c>
      <c r="F976" s="4">
        <v>43471.67291666667</v>
      </c>
      <c r="G976" s="3"/>
      <c r="H976" s="3"/>
      <c r="I976" s="3" t="s">
        <v>7043</v>
      </c>
      <c r="J976" s="3"/>
      <c r="K976" s="3"/>
      <c r="L976" s="5"/>
    </row>
    <row r="977" spans="1:12" ht="28.8" x14ac:dyDescent="0.55000000000000004">
      <c r="A977" s="9" t="str">
        <f>HYPERLINK("PDF\FOIA-FWS-2020-00724-0000976.pdf","FOIA-FWS-2020-00724-0000976")</f>
        <v>FOIA-FWS-2020-00724-0000976</v>
      </c>
      <c r="B977" s="3" t="s">
        <v>1775</v>
      </c>
      <c r="C977" s="3" t="s">
        <v>3</v>
      </c>
      <c r="D977" s="3" t="s">
        <v>4</v>
      </c>
      <c r="E977" s="3" t="s">
        <v>1776</v>
      </c>
      <c r="F977" s="4">
        <v>43473</v>
      </c>
      <c r="G977" s="3"/>
      <c r="H977" s="3"/>
      <c r="I977" s="3" t="s">
        <v>7043</v>
      </c>
      <c r="J977" s="3"/>
      <c r="K977" s="3"/>
      <c r="L977" s="5"/>
    </row>
    <row r="978" spans="1:12" ht="28.8" x14ac:dyDescent="0.55000000000000004">
      <c r="A978" s="9" t="str">
        <f>HYPERLINK("PDF\FOIA-FWS-2020-00724-0000977.pdf","FOIA-FWS-2020-00724-0000977")</f>
        <v>FOIA-FWS-2020-00724-0000977</v>
      </c>
      <c r="B978" s="3" t="s">
        <v>1777</v>
      </c>
      <c r="C978" s="3" t="s">
        <v>3</v>
      </c>
      <c r="D978" s="3" t="s">
        <v>38</v>
      </c>
      <c r="E978" s="3" t="s">
        <v>1778</v>
      </c>
      <c r="F978" s="4">
        <v>43474</v>
      </c>
      <c r="G978" s="3"/>
      <c r="H978" s="3"/>
      <c r="I978" s="3" t="s">
        <v>7043</v>
      </c>
      <c r="J978" s="3"/>
      <c r="K978" s="3"/>
      <c r="L978" s="5"/>
    </row>
    <row r="979" spans="1:12" ht="43.2" x14ac:dyDescent="0.55000000000000004">
      <c r="A979" s="9" t="str">
        <f>HYPERLINK("PDF\FOIA-FWS-2020-00724-0000978.pdf","FOIA-FWS-2020-00724-0000978")</f>
        <v>FOIA-FWS-2020-00724-0000978</v>
      </c>
      <c r="B979" s="3" t="s">
        <v>1779</v>
      </c>
      <c r="C979" s="3" t="s">
        <v>3</v>
      </c>
      <c r="D979" s="3" t="s">
        <v>33</v>
      </c>
      <c r="E979" s="3" t="s">
        <v>1782</v>
      </c>
      <c r="F979" s="4">
        <v>43493.499305555553</v>
      </c>
      <c r="G979" s="3" t="s">
        <v>1780</v>
      </c>
      <c r="H979" s="3" t="s">
        <v>1781</v>
      </c>
      <c r="I979" s="3" t="s">
        <v>7043</v>
      </c>
      <c r="J979" s="3"/>
      <c r="K979" s="3"/>
      <c r="L979" s="5"/>
    </row>
    <row r="980" spans="1:12" ht="28.8" x14ac:dyDescent="0.55000000000000004">
      <c r="A980" s="9" t="str">
        <f>HYPERLINK("PDF\FOIA-FWS-2020-00724-0000979.pdf","FOIA-FWS-2020-00724-0000979")</f>
        <v>FOIA-FWS-2020-00724-0000979</v>
      </c>
      <c r="B980" s="3" t="s">
        <v>1783</v>
      </c>
      <c r="C980" s="3" t="s">
        <v>3</v>
      </c>
      <c r="D980" s="3" t="s">
        <v>33</v>
      </c>
      <c r="E980" s="3" t="s">
        <v>1785</v>
      </c>
      <c r="F980" s="4">
        <v>43493.601388888892</v>
      </c>
      <c r="G980" s="3" t="s">
        <v>1784</v>
      </c>
      <c r="H980" s="3" t="s">
        <v>1135</v>
      </c>
      <c r="I980" s="3" t="s">
        <v>7043</v>
      </c>
      <c r="J980" s="3"/>
      <c r="K980" s="3"/>
      <c r="L980" s="5"/>
    </row>
    <row r="981" spans="1:12" ht="28.8" x14ac:dyDescent="0.55000000000000004">
      <c r="A981" s="9" t="str">
        <f>HYPERLINK("PDF\FOIA-FWS-2020-00724-0000980.pdf","FOIA-FWS-2020-00724-0000980")</f>
        <v>FOIA-FWS-2020-00724-0000980</v>
      </c>
      <c r="B981" s="3" t="s">
        <v>1783</v>
      </c>
      <c r="C981" s="3" t="s">
        <v>234</v>
      </c>
      <c r="D981" s="3" t="s">
        <v>33</v>
      </c>
      <c r="E981" s="3" t="s">
        <v>1786</v>
      </c>
      <c r="F981" s="4">
        <v>43493.601388888892</v>
      </c>
      <c r="G981" s="3"/>
      <c r="H981" s="3"/>
      <c r="I981" s="3" t="s">
        <v>7043</v>
      </c>
      <c r="J981" s="3"/>
      <c r="K981" s="3"/>
      <c r="L981" s="5"/>
    </row>
    <row r="982" spans="1:12" ht="28.8" x14ac:dyDescent="0.55000000000000004">
      <c r="A982" s="9" t="str">
        <f>HYPERLINK("PDF\FOIA-FWS-2020-00724-0000981.pdf","FOIA-FWS-2020-00724-0000981")</f>
        <v>FOIA-FWS-2020-00724-0000981</v>
      </c>
      <c r="B982" s="3" t="s">
        <v>1787</v>
      </c>
      <c r="C982" s="3" t="s">
        <v>3</v>
      </c>
      <c r="D982" s="3" t="s">
        <v>33</v>
      </c>
      <c r="E982" s="3" t="s">
        <v>1789</v>
      </c>
      <c r="F982" s="4">
        <v>43493.65</v>
      </c>
      <c r="G982" s="3" t="s">
        <v>963</v>
      </c>
      <c r="H982" s="3" t="s">
        <v>1788</v>
      </c>
      <c r="I982" s="3" t="s">
        <v>7043</v>
      </c>
      <c r="J982" s="3"/>
      <c r="K982" s="3"/>
      <c r="L982" s="5"/>
    </row>
    <row r="983" spans="1:12" ht="43.2" x14ac:dyDescent="0.55000000000000004">
      <c r="A983" s="9" t="str">
        <f>HYPERLINK("PDF\FOIA-FWS-2020-00724-0000982.pdf","FOIA-FWS-2020-00724-0000982")</f>
        <v>FOIA-FWS-2020-00724-0000982</v>
      </c>
      <c r="B983" s="3" t="s">
        <v>1790</v>
      </c>
      <c r="C983" s="3" t="s">
        <v>3</v>
      </c>
      <c r="D983" s="3" t="s">
        <v>33</v>
      </c>
      <c r="E983" s="3" t="s">
        <v>1792</v>
      </c>
      <c r="F983" s="4">
        <v>43493.711111111108</v>
      </c>
      <c r="G983" s="3" t="s">
        <v>1791</v>
      </c>
      <c r="H983" s="3" t="s">
        <v>1780</v>
      </c>
      <c r="I983" s="3" t="s">
        <v>7043</v>
      </c>
      <c r="J983" s="3"/>
      <c r="K983" s="3"/>
      <c r="L983" s="5"/>
    </row>
    <row r="984" spans="1:12" ht="28.8" x14ac:dyDescent="0.55000000000000004">
      <c r="A984" s="9" t="str">
        <f>HYPERLINK("PDF\FOIA-FWS-2020-00724-0000983.pdf","FOIA-FWS-2020-00724-0000983")</f>
        <v>FOIA-FWS-2020-00724-0000983</v>
      </c>
      <c r="B984" s="3" t="s">
        <v>1790</v>
      </c>
      <c r="C984" s="3" t="s">
        <v>234</v>
      </c>
      <c r="D984" s="3" t="s">
        <v>33</v>
      </c>
      <c r="E984" s="3" t="s">
        <v>1793</v>
      </c>
      <c r="F984" s="4">
        <v>43493.711111111108</v>
      </c>
      <c r="G984" s="3"/>
      <c r="H984" s="3"/>
      <c r="I984" s="3" t="s">
        <v>7043</v>
      </c>
      <c r="J984" s="3"/>
      <c r="K984" s="3"/>
      <c r="L984" s="5"/>
    </row>
    <row r="985" spans="1:12" ht="28.8" x14ac:dyDescent="0.55000000000000004">
      <c r="A985" s="9" t="str">
        <f>HYPERLINK("PDF\FOIA-FWS-2020-00724-0000984.pdf","FOIA-FWS-2020-00724-0000984")</f>
        <v>FOIA-FWS-2020-00724-0000984</v>
      </c>
      <c r="B985" s="3" t="s">
        <v>1794</v>
      </c>
      <c r="C985" s="3" t="s">
        <v>3</v>
      </c>
      <c r="D985" s="3" t="s">
        <v>33</v>
      </c>
      <c r="E985" s="3" t="s">
        <v>1795</v>
      </c>
      <c r="F985" s="4">
        <v>43494.784722222219</v>
      </c>
      <c r="G985" s="3" t="s">
        <v>963</v>
      </c>
      <c r="H985" s="3" t="s">
        <v>1060</v>
      </c>
      <c r="I985" s="3" t="s">
        <v>7043</v>
      </c>
      <c r="J985" s="3"/>
      <c r="K985" s="3"/>
      <c r="L985" s="5"/>
    </row>
    <row r="986" spans="1:12" ht="28.8" x14ac:dyDescent="0.55000000000000004">
      <c r="A986" s="9" t="str">
        <f>HYPERLINK("PDF\FOIA-FWS-2020-00724-0000985.pdf","FOIA-FWS-2020-00724-0000985")</f>
        <v>FOIA-FWS-2020-00724-0000985</v>
      </c>
      <c r="B986" s="3" t="s">
        <v>1794</v>
      </c>
      <c r="C986" s="3" t="s">
        <v>234</v>
      </c>
      <c r="D986" s="3" t="s">
        <v>4</v>
      </c>
      <c r="E986" s="3" t="s">
        <v>1573</v>
      </c>
      <c r="F986" s="4">
        <v>43494.784722222219</v>
      </c>
      <c r="G986" s="3"/>
      <c r="H986" s="3"/>
      <c r="I986" s="3" t="s">
        <v>7043</v>
      </c>
      <c r="J986" s="3"/>
      <c r="K986" s="3"/>
      <c r="L986" s="5"/>
    </row>
    <row r="987" spans="1:12" ht="28.8" x14ac:dyDescent="0.55000000000000004">
      <c r="A987" s="9" t="str">
        <f>HYPERLINK("PDF\FOIA-FWS-2020-00724-0000986.pdf","FOIA-FWS-2020-00724-0000986")</f>
        <v>FOIA-FWS-2020-00724-0000986</v>
      </c>
      <c r="B987" s="3" t="s">
        <v>1794</v>
      </c>
      <c r="C987" s="3" t="s">
        <v>234</v>
      </c>
      <c r="D987" s="3" t="s">
        <v>4</v>
      </c>
      <c r="E987" s="3" t="s">
        <v>1574</v>
      </c>
      <c r="F987" s="4">
        <v>43494.784722222219</v>
      </c>
      <c r="G987" s="3"/>
      <c r="H987" s="3"/>
      <c r="I987" s="3" t="s">
        <v>7043</v>
      </c>
      <c r="J987" s="3"/>
      <c r="K987" s="3"/>
      <c r="L987" s="5"/>
    </row>
    <row r="988" spans="1:12" ht="28.8" x14ac:dyDescent="0.55000000000000004">
      <c r="A988" s="9" t="str">
        <f>HYPERLINK("PDF\FOIA-FWS-2020-00724-0000987.pdf","FOIA-FWS-2020-00724-0000987")</f>
        <v>FOIA-FWS-2020-00724-0000987</v>
      </c>
      <c r="B988" s="3" t="s">
        <v>1794</v>
      </c>
      <c r="C988" s="3" t="s">
        <v>234</v>
      </c>
      <c r="D988" s="3" t="s">
        <v>4</v>
      </c>
      <c r="E988" s="3" t="s">
        <v>1575</v>
      </c>
      <c r="F988" s="4">
        <v>43494.784722222219</v>
      </c>
      <c r="G988" s="3"/>
      <c r="H988" s="3"/>
      <c r="I988" s="3" t="s">
        <v>7043</v>
      </c>
      <c r="J988" s="3"/>
      <c r="K988" s="3"/>
      <c r="L988" s="5"/>
    </row>
    <row r="989" spans="1:12" ht="28.8" x14ac:dyDescent="0.55000000000000004">
      <c r="A989" s="9" t="str">
        <f>HYPERLINK("PDF\FOIA-FWS-2020-00724-0000988.pdf","FOIA-FWS-2020-00724-0000988")</f>
        <v>FOIA-FWS-2020-00724-0000988</v>
      </c>
      <c r="B989" s="3" t="s">
        <v>1794</v>
      </c>
      <c r="C989" s="3" t="s">
        <v>234</v>
      </c>
      <c r="D989" s="3" t="s">
        <v>4</v>
      </c>
      <c r="E989" s="3" t="s">
        <v>1576</v>
      </c>
      <c r="F989" s="4">
        <v>43494.784722222219</v>
      </c>
      <c r="G989" s="3"/>
      <c r="H989" s="3"/>
      <c r="I989" s="3" t="s">
        <v>7043</v>
      </c>
      <c r="J989" s="3"/>
      <c r="K989" s="3"/>
      <c r="L989" s="5"/>
    </row>
    <row r="990" spans="1:12" ht="28.8" x14ac:dyDescent="0.55000000000000004">
      <c r="A990" s="9" t="str">
        <f>HYPERLINK("PDF\FOIA-FWS-2020-00724-0000989.pdf","FOIA-FWS-2020-00724-0000989")</f>
        <v>FOIA-FWS-2020-00724-0000989</v>
      </c>
      <c r="B990" s="3" t="s">
        <v>1794</v>
      </c>
      <c r="C990" s="3" t="s">
        <v>234</v>
      </c>
      <c r="D990" s="3" t="s">
        <v>4</v>
      </c>
      <c r="E990" s="3" t="s">
        <v>1577</v>
      </c>
      <c r="F990" s="4">
        <v>43494.784722222219</v>
      </c>
      <c r="G990" s="3"/>
      <c r="H990" s="3"/>
      <c r="I990" s="3" t="s">
        <v>7043</v>
      </c>
      <c r="J990" s="3"/>
      <c r="K990" s="3"/>
      <c r="L990" s="5"/>
    </row>
    <row r="991" spans="1:12" ht="28.8" x14ac:dyDescent="0.55000000000000004">
      <c r="A991" s="9" t="str">
        <f>HYPERLINK("PDF\FOIA-FWS-2020-00724-0000990.pdf","FOIA-FWS-2020-00724-0000990")</f>
        <v>FOIA-FWS-2020-00724-0000990</v>
      </c>
      <c r="B991" s="3" t="s">
        <v>1794</v>
      </c>
      <c r="C991" s="3" t="s">
        <v>234</v>
      </c>
      <c r="D991" s="3" t="s">
        <v>4</v>
      </c>
      <c r="E991" s="3" t="s">
        <v>1578</v>
      </c>
      <c r="F991" s="4">
        <v>43494.784722222219</v>
      </c>
      <c r="G991" s="3"/>
      <c r="H991" s="3"/>
      <c r="I991" s="3" t="s">
        <v>7043</v>
      </c>
      <c r="J991" s="3"/>
      <c r="K991" s="3"/>
      <c r="L991" s="5"/>
    </row>
    <row r="992" spans="1:12" ht="28.8" x14ac:dyDescent="0.55000000000000004">
      <c r="A992" s="9" t="str">
        <f>HYPERLINK("PDF\FOIA-FWS-2020-00724-0000991.pdf","FOIA-FWS-2020-00724-0000991")</f>
        <v>FOIA-FWS-2020-00724-0000991</v>
      </c>
      <c r="B992" s="3" t="s">
        <v>1794</v>
      </c>
      <c r="C992" s="3" t="s">
        <v>234</v>
      </c>
      <c r="D992" s="3" t="s">
        <v>160</v>
      </c>
      <c r="E992" s="3" t="s">
        <v>1579</v>
      </c>
      <c r="F992" s="4">
        <v>43494.784722222219</v>
      </c>
      <c r="G992" s="3"/>
      <c r="H992" s="3"/>
      <c r="I992" s="3" t="s">
        <v>7043</v>
      </c>
      <c r="J992" s="3"/>
      <c r="K992" s="3"/>
      <c r="L992" s="5"/>
    </row>
    <row r="993" spans="1:12" ht="28.8" x14ac:dyDescent="0.55000000000000004">
      <c r="A993" s="9" t="str">
        <f>HYPERLINK("PDF\FOIA-FWS-2020-00724-0000992.pdf","FOIA-FWS-2020-00724-0000992")</f>
        <v>FOIA-FWS-2020-00724-0000992</v>
      </c>
      <c r="B993" s="3" t="s">
        <v>1796</v>
      </c>
      <c r="C993" s="3" t="s">
        <v>3</v>
      </c>
      <c r="D993" s="3" t="s">
        <v>33</v>
      </c>
      <c r="E993" s="3" t="s">
        <v>1798</v>
      </c>
      <c r="F993" s="4">
        <v>43494.836805555555</v>
      </c>
      <c r="G993" s="3" t="s">
        <v>963</v>
      </c>
      <c r="H993" s="3" t="s">
        <v>1797</v>
      </c>
      <c r="I993" s="3" t="s">
        <v>7043</v>
      </c>
      <c r="J993" s="3"/>
      <c r="K993" s="3"/>
      <c r="L993" s="5"/>
    </row>
    <row r="994" spans="1:12" ht="28.8" x14ac:dyDescent="0.55000000000000004">
      <c r="A994" s="9" t="str">
        <f>HYPERLINK("PDF\FOIA-FWS-2020-00724-0000993.pdf","FOIA-FWS-2020-00724-0000993")</f>
        <v>FOIA-FWS-2020-00724-0000993</v>
      </c>
      <c r="B994" s="3" t="s">
        <v>1799</v>
      </c>
      <c r="C994" s="3" t="s">
        <v>3</v>
      </c>
      <c r="D994" s="3" t="s">
        <v>33</v>
      </c>
      <c r="E994" s="3" t="s">
        <v>1800</v>
      </c>
      <c r="F994" s="4">
        <v>43495</v>
      </c>
      <c r="G994" s="3"/>
      <c r="H994" s="3"/>
      <c r="I994" s="3" t="s">
        <v>7043</v>
      </c>
      <c r="J994" s="3"/>
      <c r="K994" s="3"/>
      <c r="L994" s="5"/>
    </row>
    <row r="995" spans="1:12" ht="28.8" x14ac:dyDescent="0.55000000000000004">
      <c r="A995" s="9" t="str">
        <f>HYPERLINK("PDF\FOIA-FWS-2020-00724-0000994.pdf","FOIA-FWS-2020-00724-0000994")</f>
        <v>FOIA-FWS-2020-00724-0000994</v>
      </c>
      <c r="B995" s="3" t="s">
        <v>1801</v>
      </c>
      <c r="C995" s="3" t="s">
        <v>3</v>
      </c>
      <c r="D995" s="3" t="s">
        <v>33</v>
      </c>
      <c r="E995" s="3" t="s">
        <v>1804</v>
      </c>
      <c r="F995" s="4">
        <v>43495.520138888889</v>
      </c>
      <c r="G995" s="3" t="s">
        <v>1802</v>
      </c>
      <c r="H995" s="3" t="s">
        <v>1803</v>
      </c>
      <c r="I995" s="3" t="s">
        <v>7043</v>
      </c>
      <c r="J995" s="3"/>
      <c r="K995" s="3"/>
      <c r="L995" s="5"/>
    </row>
    <row r="996" spans="1:12" ht="28.8" x14ac:dyDescent="0.55000000000000004">
      <c r="A996" s="9" t="str">
        <f>HYPERLINK("PDF\FOIA-FWS-2020-00724-0000995.pdf","FOIA-FWS-2020-00724-0000995")</f>
        <v>FOIA-FWS-2020-00724-0000995</v>
      </c>
      <c r="B996" s="3" t="s">
        <v>1801</v>
      </c>
      <c r="C996" s="3" t="s">
        <v>234</v>
      </c>
      <c r="D996" s="3" t="s">
        <v>4</v>
      </c>
      <c r="E996" s="3" t="s">
        <v>1805</v>
      </c>
      <c r="F996" s="4">
        <v>43495.520138888889</v>
      </c>
      <c r="G996" s="3"/>
      <c r="H996" s="3"/>
      <c r="I996" s="3" t="s">
        <v>7043</v>
      </c>
      <c r="J996" s="3"/>
      <c r="K996" s="3"/>
      <c r="L996" s="5"/>
    </row>
    <row r="997" spans="1:12" ht="28.8" x14ac:dyDescent="0.55000000000000004">
      <c r="A997" s="9" t="str">
        <f>HYPERLINK("PDF\FOIA-FWS-2020-00724-0000996.pdf","FOIA-FWS-2020-00724-0000996")</f>
        <v>FOIA-FWS-2020-00724-0000996</v>
      </c>
      <c r="B997" s="3" t="s">
        <v>1806</v>
      </c>
      <c r="C997" s="3" t="s">
        <v>3</v>
      </c>
      <c r="D997" s="3" t="s">
        <v>33</v>
      </c>
      <c r="E997" s="3" t="s">
        <v>1808</v>
      </c>
      <c r="F997" s="4">
        <v>43495.529861111114</v>
      </c>
      <c r="G997" s="3" t="s">
        <v>861</v>
      </c>
      <c r="H997" s="3" t="s">
        <v>1807</v>
      </c>
      <c r="I997" s="3" t="s">
        <v>7043</v>
      </c>
      <c r="J997" s="3"/>
      <c r="K997" s="3"/>
      <c r="L997" s="5"/>
    </row>
    <row r="998" spans="1:12" ht="28.8" x14ac:dyDescent="0.55000000000000004">
      <c r="A998" s="9" t="str">
        <f>HYPERLINK("PDF\FOIA-FWS-2020-00724-0000997.pdf","FOIA-FWS-2020-00724-0000997")</f>
        <v>FOIA-FWS-2020-00724-0000997</v>
      </c>
      <c r="B998" s="3" t="s">
        <v>1806</v>
      </c>
      <c r="C998" s="3" t="s">
        <v>234</v>
      </c>
      <c r="D998" s="3" t="s">
        <v>33</v>
      </c>
      <c r="E998" s="3" t="s">
        <v>1809</v>
      </c>
      <c r="F998" s="4">
        <v>43495.529861111114</v>
      </c>
      <c r="G998" s="3"/>
      <c r="H998" s="3"/>
      <c r="I998" s="3" t="s">
        <v>7043</v>
      </c>
      <c r="J998" s="3"/>
      <c r="K998" s="3"/>
      <c r="L998" s="5"/>
    </row>
    <row r="999" spans="1:12" ht="28.8" x14ac:dyDescent="0.55000000000000004">
      <c r="A999" s="9" t="str">
        <f>HYPERLINK("PDF\FOIA-FWS-2020-00724-0000998.pdf","FOIA-FWS-2020-00724-0000998")</f>
        <v>FOIA-FWS-2020-00724-0000998</v>
      </c>
      <c r="B999" s="3" t="s">
        <v>1810</v>
      </c>
      <c r="C999" s="3" t="s">
        <v>3</v>
      </c>
      <c r="D999" s="3" t="s">
        <v>33</v>
      </c>
      <c r="E999" s="3" t="s">
        <v>1808</v>
      </c>
      <c r="F999" s="4">
        <v>43495.536805555559</v>
      </c>
      <c r="G999" s="3" t="s">
        <v>861</v>
      </c>
      <c r="H999" s="3" t="s">
        <v>1811</v>
      </c>
      <c r="I999" s="3" t="s">
        <v>7043</v>
      </c>
      <c r="J999" s="3"/>
      <c r="K999" s="3"/>
      <c r="L999" s="5"/>
    </row>
    <row r="1000" spans="1:12" ht="28.8" x14ac:dyDescent="0.55000000000000004">
      <c r="A1000" s="9" t="str">
        <f>HYPERLINK("PDF\FOIA-FWS-2020-00724-0000999.pdf","FOIA-FWS-2020-00724-0000999")</f>
        <v>FOIA-FWS-2020-00724-0000999</v>
      </c>
      <c r="B1000" s="3" t="s">
        <v>1810</v>
      </c>
      <c r="C1000" s="3" t="s">
        <v>234</v>
      </c>
      <c r="D1000" s="3" t="s">
        <v>33</v>
      </c>
      <c r="E1000" s="3" t="s">
        <v>1809</v>
      </c>
      <c r="F1000" s="4">
        <v>43495.536805555559</v>
      </c>
      <c r="G1000" s="3"/>
      <c r="H1000" s="3"/>
      <c r="I1000" s="3" t="s">
        <v>7043</v>
      </c>
      <c r="J1000" s="3"/>
      <c r="K1000" s="3"/>
      <c r="L1000" s="5"/>
    </row>
    <row r="1001" spans="1:12" ht="28.8" x14ac:dyDescent="0.55000000000000004">
      <c r="A1001" s="9" t="str">
        <f>HYPERLINK("PDF\FOIA-FWS-2020-00724-0001000.pdf","FOIA-FWS-2020-00724-0001000")</f>
        <v>FOIA-FWS-2020-00724-0001000</v>
      </c>
      <c r="B1001" s="3" t="s">
        <v>1812</v>
      </c>
      <c r="C1001" s="3" t="s">
        <v>3</v>
      </c>
      <c r="D1001" s="3" t="s">
        <v>33</v>
      </c>
      <c r="E1001" s="3" t="s">
        <v>1814</v>
      </c>
      <c r="F1001" s="4">
        <v>43495.538194444445</v>
      </c>
      <c r="G1001" s="3" t="s">
        <v>1813</v>
      </c>
      <c r="H1001" s="3" t="s">
        <v>1813</v>
      </c>
      <c r="I1001" s="3" t="s">
        <v>7043</v>
      </c>
      <c r="J1001" s="3"/>
      <c r="K1001" s="3"/>
      <c r="L1001" s="5"/>
    </row>
    <row r="1002" spans="1:12" ht="28.8" x14ac:dyDescent="0.55000000000000004">
      <c r="A1002" s="9" t="str">
        <f>HYPERLINK("PDF\FOIA-FWS-2020-00724-0001001.pdf","FOIA-FWS-2020-00724-0001001")</f>
        <v>FOIA-FWS-2020-00724-0001001</v>
      </c>
      <c r="B1002" s="3" t="s">
        <v>1812</v>
      </c>
      <c r="C1002" s="3" t="s">
        <v>234</v>
      </c>
      <c r="D1002" s="3" t="s">
        <v>33</v>
      </c>
      <c r="E1002" s="3" t="s">
        <v>1815</v>
      </c>
      <c r="F1002" s="4">
        <v>43495.538194444445</v>
      </c>
      <c r="G1002" s="3"/>
      <c r="H1002" s="3"/>
      <c r="I1002" s="3" t="s">
        <v>7043</v>
      </c>
      <c r="J1002" s="3"/>
      <c r="K1002" s="3"/>
      <c r="L1002" s="5"/>
    </row>
    <row r="1003" spans="1:12" ht="28.8" x14ac:dyDescent="0.55000000000000004">
      <c r="A1003" s="9" t="str">
        <f>HYPERLINK("PDF\FOIA-FWS-2020-00724-0001002.pdf","FOIA-FWS-2020-00724-0001002")</f>
        <v>FOIA-FWS-2020-00724-0001002</v>
      </c>
      <c r="B1003" s="3" t="s">
        <v>1816</v>
      </c>
      <c r="C1003" s="3" t="s">
        <v>3</v>
      </c>
      <c r="D1003" s="3" t="s">
        <v>33</v>
      </c>
      <c r="E1003" s="3" t="s">
        <v>1808</v>
      </c>
      <c r="F1003" s="4">
        <v>43495.540972222225</v>
      </c>
      <c r="G1003" s="3" t="s">
        <v>861</v>
      </c>
      <c r="H1003" s="3" t="s">
        <v>1817</v>
      </c>
      <c r="I1003" s="3" t="s">
        <v>7043</v>
      </c>
      <c r="J1003" s="3"/>
      <c r="K1003" s="3"/>
      <c r="L1003" s="5"/>
    </row>
    <row r="1004" spans="1:12" ht="28.8" x14ac:dyDescent="0.55000000000000004">
      <c r="A1004" s="9" t="str">
        <f>HYPERLINK("PDF\FOIA-FWS-2020-00724-0001003.pdf","FOIA-FWS-2020-00724-0001003")</f>
        <v>FOIA-FWS-2020-00724-0001003</v>
      </c>
      <c r="B1004" s="3" t="s">
        <v>1816</v>
      </c>
      <c r="C1004" s="3" t="s">
        <v>234</v>
      </c>
      <c r="D1004" s="3" t="s">
        <v>33</v>
      </c>
      <c r="E1004" s="3" t="s">
        <v>1809</v>
      </c>
      <c r="F1004" s="4">
        <v>43495.540972222225</v>
      </c>
      <c r="G1004" s="3"/>
      <c r="H1004" s="3"/>
      <c r="I1004" s="3" t="s">
        <v>7043</v>
      </c>
      <c r="J1004" s="3"/>
      <c r="K1004" s="3"/>
      <c r="L1004" s="5"/>
    </row>
    <row r="1005" spans="1:12" ht="115.2" x14ac:dyDescent="0.55000000000000004">
      <c r="A1005" s="9" t="str">
        <f>HYPERLINK("PDF\FOIA-FWS-2020-00724-0001004.pdf","FOIA-FWS-2020-00724-0001004")</f>
        <v>FOIA-FWS-2020-00724-0001004</v>
      </c>
      <c r="B1005" s="3" t="s">
        <v>1818</v>
      </c>
      <c r="C1005" s="3" t="s">
        <v>3</v>
      </c>
      <c r="D1005" s="3" t="s">
        <v>33</v>
      </c>
      <c r="E1005" s="3" t="s">
        <v>1819</v>
      </c>
      <c r="F1005" s="4">
        <v>43495.554861111108</v>
      </c>
      <c r="G1005" s="3" t="s">
        <v>861</v>
      </c>
      <c r="H1005" s="3" t="s">
        <v>861</v>
      </c>
      <c r="I1005" s="3" t="s">
        <v>7043</v>
      </c>
      <c r="J1005" s="3"/>
      <c r="K1005" s="3"/>
      <c r="L1005" s="5"/>
    </row>
    <row r="1006" spans="1:12" ht="28.8" x14ac:dyDescent="0.55000000000000004">
      <c r="A1006" s="9" t="str">
        <f>HYPERLINK("PDF\FOIA-FWS-2020-00724-0001005.pdf","FOIA-FWS-2020-00724-0001005")</f>
        <v>FOIA-FWS-2020-00724-0001005</v>
      </c>
      <c r="B1006" s="3" t="s">
        <v>1818</v>
      </c>
      <c r="C1006" s="3" t="s">
        <v>234</v>
      </c>
      <c r="D1006" s="3" t="s">
        <v>33</v>
      </c>
      <c r="E1006" s="3" t="s">
        <v>1809</v>
      </c>
      <c r="F1006" s="4">
        <v>43495.554861111108</v>
      </c>
      <c r="G1006" s="3"/>
      <c r="H1006" s="3"/>
      <c r="I1006" s="3" t="s">
        <v>7043</v>
      </c>
      <c r="J1006" s="3"/>
      <c r="K1006" s="3"/>
      <c r="L1006" s="5"/>
    </row>
    <row r="1007" spans="1:12" ht="28.8" x14ac:dyDescent="0.55000000000000004">
      <c r="A1007" s="9" t="str">
        <f>HYPERLINK("PDF\FOIA-FWS-2020-00724-0001006.pdf","FOIA-FWS-2020-00724-0001006")</f>
        <v>FOIA-FWS-2020-00724-0001006</v>
      </c>
      <c r="B1007" s="3" t="s">
        <v>1820</v>
      </c>
      <c r="C1007" s="3" t="s">
        <v>3</v>
      </c>
      <c r="D1007" s="3" t="s">
        <v>33</v>
      </c>
      <c r="E1007" s="3" t="s">
        <v>1808</v>
      </c>
      <c r="F1007" s="4">
        <v>43495.568749999999</v>
      </c>
      <c r="G1007" s="3" t="s">
        <v>861</v>
      </c>
      <c r="H1007" s="3" t="s">
        <v>1821</v>
      </c>
      <c r="I1007" s="3" t="s">
        <v>7043</v>
      </c>
      <c r="J1007" s="3"/>
      <c r="K1007" s="3"/>
      <c r="L1007" s="5"/>
    </row>
    <row r="1008" spans="1:12" ht="28.8" x14ac:dyDescent="0.55000000000000004">
      <c r="A1008" s="9" t="str">
        <f>HYPERLINK("PDF\FOIA-FWS-2020-00724-0001007.pdf","FOIA-FWS-2020-00724-0001007")</f>
        <v>FOIA-FWS-2020-00724-0001007</v>
      </c>
      <c r="B1008" s="3" t="s">
        <v>1820</v>
      </c>
      <c r="C1008" s="3" t="s">
        <v>234</v>
      </c>
      <c r="D1008" s="3" t="s">
        <v>33</v>
      </c>
      <c r="E1008" s="3" t="s">
        <v>1809</v>
      </c>
      <c r="F1008" s="4">
        <v>43495.568749999999</v>
      </c>
      <c r="G1008" s="3"/>
      <c r="H1008" s="3"/>
      <c r="I1008" s="3" t="s">
        <v>7043</v>
      </c>
      <c r="J1008" s="3"/>
      <c r="K1008" s="3"/>
      <c r="L1008" s="5"/>
    </row>
    <row r="1009" spans="1:12" ht="28.8" x14ac:dyDescent="0.55000000000000004">
      <c r="A1009" s="9" t="str">
        <f>HYPERLINK("PDF\FOIA-FWS-2020-00724-0001008.pdf","FOIA-FWS-2020-00724-0001008")</f>
        <v>FOIA-FWS-2020-00724-0001008</v>
      </c>
      <c r="B1009" s="3" t="s">
        <v>1822</v>
      </c>
      <c r="C1009" s="3" t="s">
        <v>3</v>
      </c>
      <c r="D1009" s="3" t="s">
        <v>33</v>
      </c>
      <c r="E1009" s="3" t="s">
        <v>1824</v>
      </c>
      <c r="F1009" s="4">
        <v>43495.581250000003</v>
      </c>
      <c r="G1009" s="3" t="s">
        <v>1823</v>
      </c>
      <c r="H1009" s="3" t="s">
        <v>861</v>
      </c>
      <c r="I1009" s="3" t="s">
        <v>7043</v>
      </c>
      <c r="J1009" s="3"/>
      <c r="K1009" s="3"/>
      <c r="L1009" s="5"/>
    </row>
    <row r="1010" spans="1:12" ht="28.8" x14ac:dyDescent="0.55000000000000004">
      <c r="A1010" s="9" t="str">
        <f>HYPERLINK("PDF\FOIA-FWS-2020-00724-0001009.pdf","FOIA-FWS-2020-00724-0001009")</f>
        <v>FOIA-FWS-2020-00724-0001009</v>
      </c>
      <c r="B1010" s="3" t="s">
        <v>1825</v>
      </c>
      <c r="C1010" s="3" t="s">
        <v>3</v>
      </c>
      <c r="D1010" s="3" t="s">
        <v>33</v>
      </c>
      <c r="E1010" s="3" t="s">
        <v>1808</v>
      </c>
      <c r="F1010" s="4">
        <v>43495.59097222222</v>
      </c>
      <c r="G1010" s="3" t="s">
        <v>861</v>
      </c>
      <c r="H1010" s="3" t="s">
        <v>1826</v>
      </c>
      <c r="I1010" s="3" t="s">
        <v>7043</v>
      </c>
      <c r="J1010" s="3"/>
      <c r="K1010" s="3"/>
      <c r="L1010" s="5"/>
    </row>
    <row r="1011" spans="1:12" ht="100.8" x14ac:dyDescent="0.55000000000000004">
      <c r="A1011" s="9" t="str">
        <f>HYPERLINK("PDF\FOIA-FWS-2020-00724-0001010.pdf","FOIA-FWS-2020-00724-0001010")</f>
        <v>FOIA-FWS-2020-00724-0001010</v>
      </c>
      <c r="B1011" s="3" t="s">
        <v>1827</v>
      </c>
      <c r="C1011" s="3" t="s">
        <v>3</v>
      </c>
      <c r="D1011" s="3" t="s">
        <v>33</v>
      </c>
      <c r="E1011" s="3" t="s">
        <v>1828</v>
      </c>
      <c r="F1011" s="4">
        <v>43495.615277777775</v>
      </c>
      <c r="G1011" s="3" t="s">
        <v>1024</v>
      </c>
      <c r="H1011" s="3" t="s">
        <v>861</v>
      </c>
      <c r="I1011" s="3" t="s">
        <v>7043</v>
      </c>
      <c r="J1011" s="3"/>
      <c r="K1011" s="3"/>
      <c r="L1011" s="5"/>
    </row>
    <row r="1012" spans="1:12" ht="28.8" x14ac:dyDescent="0.55000000000000004">
      <c r="A1012" s="9" t="str">
        <f>HYPERLINK("PDF\FOIA-FWS-2020-00724-0001011.pdf","FOIA-FWS-2020-00724-0001011")</f>
        <v>FOIA-FWS-2020-00724-0001011</v>
      </c>
      <c r="B1012" s="3" t="s">
        <v>1829</v>
      </c>
      <c r="C1012" s="3" t="s">
        <v>3</v>
      </c>
      <c r="D1012" s="3" t="s">
        <v>33</v>
      </c>
      <c r="E1012" s="3" t="s">
        <v>1831</v>
      </c>
      <c r="F1012" s="4">
        <v>43495.634027777778</v>
      </c>
      <c r="G1012" s="3" t="s">
        <v>1813</v>
      </c>
      <c r="H1012" s="3" t="s">
        <v>1830</v>
      </c>
      <c r="I1012" s="3" t="s">
        <v>7043</v>
      </c>
      <c r="J1012" s="3"/>
      <c r="K1012" s="3"/>
      <c r="L1012" s="5"/>
    </row>
    <row r="1013" spans="1:12" ht="28.8" x14ac:dyDescent="0.55000000000000004">
      <c r="A1013" s="9" t="str">
        <f>HYPERLINK("PDF\FOIA-FWS-2020-00724-0001012.pdf","FOIA-FWS-2020-00724-0001012")</f>
        <v>FOIA-FWS-2020-00724-0001012</v>
      </c>
      <c r="B1013" s="3" t="s">
        <v>1832</v>
      </c>
      <c r="C1013" s="3" t="s">
        <v>3</v>
      </c>
      <c r="D1013" s="3" t="s">
        <v>33</v>
      </c>
      <c r="E1013" s="3" t="s">
        <v>1833</v>
      </c>
      <c r="F1013" s="4">
        <v>43495.680555555555</v>
      </c>
      <c r="G1013" s="3" t="s">
        <v>1719</v>
      </c>
      <c r="H1013" s="3" t="s">
        <v>861</v>
      </c>
      <c r="I1013" s="3" t="s">
        <v>7043</v>
      </c>
      <c r="J1013" s="3"/>
      <c r="K1013" s="3"/>
      <c r="L1013" s="5"/>
    </row>
    <row r="1014" spans="1:12" ht="28.8" x14ac:dyDescent="0.55000000000000004">
      <c r="A1014" s="9" t="str">
        <f>HYPERLINK("PDF\FOIA-FWS-2020-00724-0001013.pdf","FOIA-FWS-2020-00724-0001013")</f>
        <v>FOIA-FWS-2020-00724-0001013</v>
      </c>
      <c r="B1014" s="3" t="s">
        <v>1834</v>
      </c>
      <c r="C1014" s="3" t="s">
        <v>3</v>
      </c>
      <c r="D1014" s="3" t="s">
        <v>33</v>
      </c>
      <c r="E1014" s="3" t="s">
        <v>1835</v>
      </c>
      <c r="F1014" s="4">
        <v>43495.723611111112</v>
      </c>
      <c r="G1014" s="3" t="s">
        <v>861</v>
      </c>
      <c r="H1014" s="3" t="s">
        <v>1823</v>
      </c>
      <c r="I1014" s="3" t="s">
        <v>7043</v>
      </c>
      <c r="J1014" s="3"/>
      <c r="K1014" s="3"/>
      <c r="L1014" s="5"/>
    </row>
    <row r="1015" spans="1:12" ht="28.8" x14ac:dyDescent="0.55000000000000004">
      <c r="A1015" s="9" t="str">
        <f>HYPERLINK("PDF\FOIA-FWS-2020-00724-0001014.pdf","FOIA-FWS-2020-00724-0001014")</f>
        <v>FOIA-FWS-2020-00724-0001014</v>
      </c>
      <c r="B1015" s="3" t="s">
        <v>1836</v>
      </c>
      <c r="C1015" s="3" t="s">
        <v>3</v>
      </c>
      <c r="D1015" s="3" t="s">
        <v>33</v>
      </c>
      <c r="E1015" s="3" t="s">
        <v>1824</v>
      </c>
      <c r="F1015" s="4">
        <v>43495.726388888892</v>
      </c>
      <c r="G1015" s="3" t="s">
        <v>1837</v>
      </c>
      <c r="H1015" s="3" t="s">
        <v>861</v>
      </c>
      <c r="I1015" s="3" t="s">
        <v>7043</v>
      </c>
      <c r="J1015" s="3"/>
      <c r="K1015" s="3"/>
      <c r="L1015" s="5"/>
    </row>
    <row r="1016" spans="1:12" ht="28.8" x14ac:dyDescent="0.55000000000000004">
      <c r="A1016" s="9" t="str">
        <f>HYPERLINK("PDF\FOIA-FWS-2020-00724-0001015.pdf","FOIA-FWS-2020-00724-0001015")</f>
        <v>FOIA-FWS-2020-00724-0001015</v>
      </c>
      <c r="B1016" s="3" t="s">
        <v>1838</v>
      </c>
      <c r="C1016" s="3" t="s">
        <v>3</v>
      </c>
      <c r="D1016" s="3" t="s">
        <v>33</v>
      </c>
      <c r="E1016" s="3" t="s">
        <v>1840</v>
      </c>
      <c r="F1016" s="4">
        <v>43495.756944444445</v>
      </c>
      <c r="G1016" s="3" t="s">
        <v>861</v>
      </c>
      <c r="H1016" s="3" t="s">
        <v>1839</v>
      </c>
      <c r="I1016" s="3" t="s">
        <v>7043</v>
      </c>
      <c r="J1016" s="3"/>
      <c r="K1016" s="3"/>
      <c r="L1016" s="5"/>
    </row>
    <row r="1017" spans="1:12" ht="28.8" x14ac:dyDescent="0.55000000000000004">
      <c r="A1017" s="9" t="str">
        <f>HYPERLINK("PDF\FOIA-FWS-2020-00724-0001016.pdf","FOIA-FWS-2020-00724-0001016")</f>
        <v>FOIA-FWS-2020-00724-0001016</v>
      </c>
      <c r="B1017" s="3" t="s">
        <v>1841</v>
      </c>
      <c r="C1017" s="3" t="s">
        <v>3</v>
      </c>
      <c r="D1017" s="3" t="s">
        <v>51</v>
      </c>
      <c r="E1017" s="3" t="s">
        <v>1842</v>
      </c>
      <c r="F1017" s="4">
        <v>43496</v>
      </c>
      <c r="G1017" s="3"/>
      <c r="H1017" s="3"/>
      <c r="I1017" s="3" t="s">
        <v>7043</v>
      </c>
      <c r="J1017" s="3"/>
      <c r="K1017" s="3"/>
      <c r="L1017" s="5"/>
    </row>
    <row r="1018" spans="1:12" ht="28.8" x14ac:dyDescent="0.55000000000000004">
      <c r="A1018" s="9" t="str">
        <f>HYPERLINK("PDF\FOIA-FWS-2020-00724-0001017.pdf","FOIA-FWS-2020-00724-0001017")</f>
        <v>FOIA-FWS-2020-00724-0001017</v>
      </c>
      <c r="B1018" s="3" t="s">
        <v>1843</v>
      </c>
      <c r="C1018" s="3" t="s">
        <v>3</v>
      </c>
      <c r="D1018" s="3" t="s">
        <v>38</v>
      </c>
      <c r="E1018" s="3" t="s">
        <v>1844</v>
      </c>
      <c r="F1018" s="4">
        <v>43496</v>
      </c>
      <c r="G1018" s="3"/>
      <c r="H1018" s="3"/>
      <c r="I1018" s="3" t="s">
        <v>7043</v>
      </c>
      <c r="J1018" s="3"/>
      <c r="K1018" s="3"/>
      <c r="L1018" s="5"/>
    </row>
    <row r="1019" spans="1:12" ht="28.8" x14ac:dyDescent="0.55000000000000004">
      <c r="A1019" s="9" t="str">
        <f>HYPERLINK("PDF\FOIA-FWS-2020-00724-0001018.pdf","FOIA-FWS-2020-00724-0001018")</f>
        <v>FOIA-FWS-2020-00724-0001018</v>
      </c>
      <c r="B1019" s="3" t="s">
        <v>1845</v>
      </c>
      <c r="C1019" s="3" t="s">
        <v>3</v>
      </c>
      <c r="D1019" s="3" t="s">
        <v>38</v>
      </c>
      <c r="E1019" s="3" t="s">
        <v>1846</v>
      </c>
      <c r="F1019" s="4">
        <v>43496</v>
      </c>
      <c r="G1019" s="3"/>
      <c r="H1019" s="3"/>
      <c r="I1019" s="3" t="s">
        <v>7043</v>
      </c>
      <c r="J1019" s="3"/>
      <c r="K1019" s="3"/>
      <c r="L1019" s="5"/>
    </row>
    <row r="1020" spans="1:12" ht="28.8" x14ac:dyDescent="0.55000000000000004">
      <c r="A1020" s="9" t="str">
        <f>HYPERLINK("PDF\FOIA-FWS-2020-00724-0001019.pdf","FOIA-FWS-2020-00724-0001019")</f>
        <v>FOIA-FWS-2020-00724-0001019</v>
      </c>
      <c r="B1020" s="3" t="s">
        <v>1847</v>
      </c>
      <c r="C1020" s="3" t="s">
        <v>3</v>
      </c>
      <c r="D1020" s="3" t="s">
        <v>38</v>
      </c>
      <c r="E1020" s="3" t="s">
        <v>1848</v>
      </c>
      <c r="F1020" s="4">
        <v>43496</v>
      </c>
      <c r="G1020" s="3"/>
      <c r="H1020" s="3"/>
      <c r="I1020" s="3" t="s">
        <v>7043</v>
      </c>
      <c r="J1020" s="3"/>
      <c r="K1020" s="3"/>
      <c r="L1020" s="5"/>
    </row>
    <row r="1021" spans="1:12" ht="28.8" x14ac:dyDescent="0.55000000000000004">
      <c r="A1021" s="9" t="str">
        <f>HYPERLINK("PDF\FOIA-FWS-2020-00724-0001020.pdf","FOIA-FWS-2020-00724-0001020")</f>
        <v>FOIA-FWS-2020-00724-0001020</v>
      </c>
      <c r="B1021" s="3" t="s">
        <v>1849</v>
      </c>
      <c r="C1021" s="3" t="s">
        <v>3</v>
      </c>
      <c r="D1021" s="3" t="s">
        <v>38</v>
      </c>
      <c r="E1021" s="3" t="s">
        <v>1850</v>
      </c>
      <c r="F1021" s="4">
        <v>43496</v>
      </c>
      <c r="G1021" s="3"/>
      <c r="H1021" s="3"/>
      <c r="I1021" s="3" t="s">
        <v>7043</v>
      </c>
      <c r="J1021" s="3"/>
      <c r="K1021" s="3"/>
      <c r="L1021" s="5"/>
    </row>
    <row r="1022" spans="1:12" ht="28.8" x14ac:dyDescent="0.55000000000000004">
      <c r="A1022" s="9" t="str">
        <f>HYPERLINK("PDF\FOIA-FWS-2020-00724-0001021.pdf","FOIA-FWS-2020-00724-0001021")</f>
        <v>FOIA-FWS-2020-00724-0001021</v>
      </c>
      <c r="B1022" s="3" t="s">
        <v>1851</v>
      </c>
      <c r="C1022" s="3" t="s">
        <v>3</v>
      </c>
      <c r="D1022" s="3" t="s">
        <v>51</v>
      </c>
      <c r="E1022" s="3" t="s">
        <v>1852</v>
      </c>
      <c r="F1022" s="4">
        <v>43496</v>
      </c>
      <c r="G1022" s="3"/>
      <c r="H1022" s="3"/>
      <c r="I1022" s="3" t="s">
        <v>7043</v>
      </c>
      <c r="J1022" s="3"/>
      <c r="K1022" s="3"/>
      <c r="L1022" s="5"/>
    </row>
    <row r="1023" spans="1:12" ht="28.8" x14ac:dyDescent="0.55000000000000004">
      <c r="A1023" s="9" t="str">
        <f>HYPERLINK("PDF\FOIA-FWS-2020-00724-0001022.pdf","FOIA-FWS-2020-00724-0001022")</f>
        <v>FOIA-FWS-2020-00724-0001022</v>
      </c>
      <c r="B1023" s="3" t="s">
        <v>1853</v>
      </c>
      <c r="C1023" s="3" t="s">
        <v>3</v>
      </c>
      <c r="D1023" s="3" t="s">
        <v>33</v>
      </c>
      <c r="E1023" s="3" t="s">
        <v>1854</v>
      </c>
      <c r="F1023" s="4">
        <v>43496.496527777781</v>
      </c>
      <c r="G1023" s="3" t="s">
        <v>861</v>
      </c>
      <c r="H1023" s="3" t="s">
        <v>1119</v>
      </c>
      <c r="I1023" s="3" t="s">
        <v>7043</v>
      </c>
      <c r="J1023" s="3"/>
      <c r="K1023" s="3"/>
      <c r="L1023" s="5"/>
    </row>
    <row r="1024" spans="1:12" ht="28.8" x14ac:dyDescent="0.55000000000000004">
      <c r="A1024" s="9" t="str">
        <f>HYPERLINK("PDF\FOIA-FWS-2020-00724-0001023.pdf","FOIA-FWS-2020-00724-0001023")</f>
        <v>FOIA-FWS-2020-00724-0001023</v>
      </c>
      <c r="B1024" s="3" t="s">
        <v>1855</v>
      </c>
      <c r="C1024" s="3" t="s">
        <v>3</v>
      </c>
      <c r="D1024" s="3" t="s">
        <v>33</v>
      </c>
      <c r="E1024" s="3" t="s">
        <v>1856</v>
      </c>
      <c r="F1024" s="4">
        <v>43496.571527777778</v>
      </c>
      <c r="G1024" s="3" t="s">
        <v>1024</v>
      </c>
      <c r="H1024" s="3" t="s">
        <v>1012</v>
      </c>
      <c r="I1024" s="3" t="s">
        <v>7043</v>
      </c>
      <c r="J1024" s="3"/>
      <c r="K1024" s="3"/>
      <c r="L1024" s="5"/>
    </row>
    <row r="1025" spans="1:12" ht="28.8" x14ac:dyDescent="0.55000000000000004">
      <c r="A1025" s="9" t="str">
        <f>HYPERLINK("PDF\FOIA-FWS-2020-00724-0001024.pdf","FOIA-FWS-2020-00724-0001024")</f>
        <v>FOIA-FWS-2020-00724-0001024</v>
      </c>
      <c r="B1025" s="3" t="s">
        <v>1857</v>
      </c>
      <c r="C1025" s="3" t="s">
        <v>3</v>
      </c>
      <c r="D1025" s="3" t="s">
        <v>33</v>
      </c>
      <c r="E1025" s="3" t="s">
        <v>1858</v>
      </c>
      <c r="F1025" s="4">
        <v>43496.76666666667</v>
      </c>
      <c r="G1025" s="3" t="s">
        <v>1024</v>
      </c>
      <c r="H1025" s="3" t="s">
        <v>1119</v>
      </c>
      <c r="I1025" s="3" t="s">
        <v>7043</v>
      </c>
      <c r="J1025" s="3"/>
      <c r="K1025" s="3"/>
      <c r="L1025" s="5"/>
    </row>
    <row r="1026" spans="1:12" ht="28.8" x14ac:dyDescent="0.55000000000000004">
      <c r="A1026" s="9" t="str">
        <f>HYPERLINK("PDF\FOIA-FWS-2020-00724-0001025.pdf","FOIA-FWS-2020-00724-0001025")</f>
        <v>FOIA-FWS-2020-00724-0001025</v>
      </c>
      <c r="B1026" s="3" t="s">
        <v>1859</v>
      </c>
      <c r="C1026" s="3" t="s">
        <v>3</v>
      </c>
      <c r="D1026" s="3" t="s">
        <v>33</v>
      </c>
      <c r="E1026" s="3" t="s">
        <v>1860</v>
      </c>
      <c r="F1026" s="4">
        <v>43497</v>
      </c>
      <c r="G1026" s="3"/>
      <c r="H1026" s="3"/>
      <c r="I1026" s="3" t="s">
        <v>7043</v>
      </c>
      <c r="J1026" s="3"/>
      <c r="K1026" s="3"/>
      <c r="L1026" s="5"/>
    </row>
    <row r="1027" spans="1:12" ht="28.8" x14ac:dyDescent="0.55000000000000004">
      <c r="A1027" s="9" t="str">
        <f>HYPERLINK("PDF\FOIA-FWS-2020-00724-0001026.pdf","FOIA-FWS-2020-00724-0001026")</f>
        <v>FOIA-FWS-2020-00724-0001026</v>
      </c>
      <c r="B1027" s="3" t="s">
        <v>1861</v>
      </c>
      <c r="C1027" s="3" t="s">
        <v>3</v>
      </c>
      <c r="D1027" s="3" t="s">
        <v>38</v>
      </c>
      <c r="E1027" s="3" t="s">
        <v>1862</v>
      </c>
      <c r="F1027" s="4">
        <v>43497</v>
      </c>
      <c r="G1027" s="3"/>
      <c r="H1027" s="3"/>
      <c r="I1027" s="3" t="s">
        <v>7043</v>
      </c>
      <c r="J1027" s="3"/>
      <c r="K1027" s="3"/>
      <c r="L1027" s="5"/>
    </row>
    <row r="1028" spans="1:12" ht="28.8" x14ac:dyDescent="0.55000000000000004">
      <c r="A1028" s="9" t="str">
        <f>HYPERLINK("PDF\FOIA-FWS-2020-00724-0001027.pdf","FOIA-FWS-2020-00724-0001027")</f>
        <v>FOIA-FWS-2020-00724-0001027</v>
      </c>
      <c r="B1028" s="3" t="s">
        <v>1863</v>
      </c>
      <c r="C1028" s="3" t="s">
        <v>3</v>
      </c>
      <c r="D1028" s="3" t="s">
        <v>38</v>
      </c>
      <c r="E1028" s="3" t="s">
        <v>1864</v>
      </c>
      <c r="F1028" s="4">
        <v>43497</v>
      </c>
      <c r="G1028" s="3"/>
      <c r="H1028" s="3"/>
      <c r="I1028" s="3" t="s">
        <v>7043</v>
      </c>
      <c r="J1028" s="3"/>
      <c r="K1028" s="3"/>
      <c r="L1028" s="5"/>
    </row>
    <row r="1029" spans="1:12" ht="28.8" x14ac:dyDescent="0.55000000000000004">
      <c r="A1029" s="9" t="str">
        <f>HYPERLINK("PDF\FOIA-FWS-2020-00724-0001028.pdf","FOIA-FWS-2020-00724-0001028")</f>
        <v>FOIA-FWS-2020-00724-0001028</v>
      </c>
      <c r="B1029" s="3" t="s">
        <v>1865</v>
      </c>
      <c r="C1029" s="3" t="s">
        <v>3</v>
      </c>
      <c r="D1029" s="3" t="s">
        <v>33</v>
      </c>
      <c r="E1029" s="3" t="s">
        <v>1868</v>
      </c>
      <c r="F1029" s="4">
        <v>43497.497916666667</v>
      </c>
      <c r="G1029" s="3" t="s">
        <v>1866</v>
      </c>
      <c r="H1029" s="3" t="s">
        <v>1867</v>
      </c>
      <c r="I1029" s="3" t="s">
        <v>7043</v>
      </c>
      <c r="J1029" s="3"/>
      <c r="K1029" s="3"/>
      <c r="L1029" s="5"/>
    </row>
    <row r="1030" spans="1:12" ht="28.8" x14ac:dyDescent="0.55000000000000004">
      <c r="A1030" s="9" t="str">
        <f>HYPERLINK("PDF\FOIA-FWS-2020-00724-0001029.pdf","FOIA-FWS-2020-00724-0001029")</f>
        <v>FOIA-FWS-2020-00724-0001029</v>
      </c>
      <c r="B1030" s="3" t="s">
        <v>1869</v>
      </c>
      <c r="C1030" s="3" t="s">
        <v>3</v>
      </c>
      <c r="D1030" s="3" t="s">
        <v>33</v>
      </c>
      <c r="E1030" s="3" t="s">
        <v>1872</v>
      </c>
      <c r="F1030" s="4">
        <v>43497.602083333331</v>
      </c>
      <c r="G1030" s="3" t="s">
        <v>1870</v>
      </c>
      <c r="H1030" s="3" t="s">
        <v>1871</v>
      </c>
      <c r="I1030" s="3" t="s">
        <v>7043</v>
      </c>
      <c r="J1030" s="3"/>
      <c r="K1030" s="3"/>
      <c r="L1030" s="5"/>
    </row>
    <row r="1031" spans="1:12" ht="409.5" x14ac:dyDescent="0.55000000000000004">
      <c r="A1031" s="9" t="str">
        <f>HYPERLINK("PDF\FOIA-FWS-2020-00724-0001030.pdf","FOIA-FWS-2020-00724-0001030")</f>
        <v>FOIA-FWS-2020-00724-0001030</v>
      </c>
      <c r="B1031" s="3" t="s">
        <v>1873</v>
      </c>
      <c r="C1031" s="3" t="s">
        <v>3</v>
      </c>
      <c r="D1031" s="3" t="s">
        <v>33</v>
      </c>
      <c r="E1031" s="3" t="s">
        <v>1875</v>
      </c>
      <c r="F1031" s="4">
        <v>43499.45208333333</v>
      </c>
      <c r="G1031" s="3" t="s">
        <v>1874</v>
      </c>
      <c r="H1031" s="3" t="s">
        <v>7054</v>
      </c>
      <c r="I1031" s="3" t="s">
        <v>7053</v>
      </c>
      <c r="J1031" s="3" t="s">
        <v>7055</v>
      </c>
      <c r="K1031" s="3" t="s">
        <v>7036</v>
      </c>
      <c r="L1031" s="5"/>
    </row>
    <row r="1032" spans="1:12" ht="43.2" x14ac:dyDescent="0.55000000000000004">
      <c r="A1032" s="9" t="str">
        <f>HYPERLINK("PDF\FOIA-FWS-2020-00724-0001031.pdf","FOIA-FWS-2020-00724-0001031")</f>
        <v>FOIA-FWS-2020-00724-0001031</v>
      </c>
      <c r="B1032" s="3" t="s">
        <v>1873</v>
      </c>
      <c r="C1032" s="3" t="s">
        <v>234</v>
      </c>
      <c r="D1032" s="3" t="s">
        <v>33</v>
      </c>
      <c r="E1032" s="3" t="s">
        <v>1876</v>
      </c>
      <c r="F1032" s="4">
        <v>43499.45208333333</v>
      </c>
      <c r="G1032" s="3"/>
      <c r="H1032" s="3"/>
      <c r="I1032" s="3" t="s">
        <v>7053</v>
      </c>
      <c r="J1032" s="3" t="s">
        <v>7055</v>
      </c>
      <c r="K1032" s="3" t="s">
        <v>7036</v>
      </c>
      <c r="L1032" s="5"/>
    </row>
    <row r="1033" spans="1:12" ht="43.2" x14ac:dyDescent="0.55000000000000004">
      <c r="A1033" s="9" t="str">
        <f>HYPERLINK("PDF\FOIA-FWS-2020-00724-0001032.pdf","FOIA-FWS-2020-00724-0001032")</f>
        <v>FOIA-FWS-2020-00724-0001032</v>
      </c>
      <c r="B1033" s="3" t="s">
        <v>1877</v>
      </c>
      <c r="C1033" s="3" t="s">
        <v>3</v>
      </c>
      <c r="D1033" s="3" t="s">
        <v>4</v>
      </c>
      <c r="E1033" s="3" t="s">
        <v>1878</v>
      </c>
      <c r="F1033" s="4">
        <v>43500</v>
      </c>
      <c r="G1033" s="3"/>
      <c r="H1033" s="3"/>
      <c r="I1033" s="3" t="s">
        <v>7043</v>
      </c>
      <c r="J1033" s="3"/>
      <c r="K1033" s="3"/>
      <c r="L1033" s="5"/>
    </row>
    <row r="1034" spans="1:12" ht="28.8" x14ac:dyDescent="0.55000000000000004">
      <c r="A1034" s="9" t="str">
        <f>HYPERLINK("PDF\FOIA-FWS-2020-00724-0001033.pdf","FOIA-FWS-2020-00724-0001033")</f>
        <v>FOIA-FWS-2020-00724-0001033</v>
      </c>
      <c r="B1034" s="3" t="s">
        <v>1879</v>
      </c>
      <c r="C1034" s="3" t="s">
        <v>3</v>
      </c>
      <c r="D1034" s="3" t="s">
        <v>38</v>
      </c>
      <c r="E1034" s="3" t="s">
        <v>1880</v>
      </c>
      <c r="F1034" s="4">
        <v>43500</v>
      </c>
      <c r="G1034" s="3"/>
      <c r="H1034" s="3"/>
      <c r="I1034" s="3" t="s">
        <v>7043</v>
      </c>
      <c r="J1034" s="3"/>
      <c r="K1034" s="3"/>
      <c r="L1034" s="5"/>
    </row>
    <row r="1035" spans="1:12" ht="28.8" x14ac:dyDescent="0.55000000000000004">
      <c r="A1035" s="9" t="str">
        <f>HYPERLINK("PDF\FOIA-FWS-2020-00724-0001034.pdf","FOIA-FWS-2020-00724-0001034")</f>
        <v>FOIA-FWS-2020-00724-0001034</v>
      </c>
      <c r="B1035" s="3" t="s">
        <v>1881</v>
      </c>
      <c r="C1035" s="3" t="s">
        <v>3</v>
      </c>
      <c r="D1035" s="3" t="s">
        <v>38</v>
      </c>
      <c r="E1035" s="3" t="s">
        <v>1882</v>
      </c>
      <c r="F1035" s="4">
        <v>43500</v>
      </c>
      <c r="G1035" s="3"/>
      <c r="H1035" s="3"/>
      <c r="I1035" s="3" t="s">
        <v>7043</v>
      </c>
      <c r="J1035" s="3"/>
      <c r="K1035" s="3"/>
      <c r="L1035" s="5"/>
    </row>
    <row r="1036" spans="1:12" ht="28.8" x14ac:dyDescent="0.55000000000000004">
      <c r="A1036" s="9" t="str">
        <f>HYPERLINK("PDF\FOIA-FWS-2020-00724-0001035.pdf","FOIA-FWS-2020-00724-0001035")</f>
        <v>FOIA-FWS-2020-00724-0001035</v>
      </c>
      <c r="B1036" s="3" t="s">
        <v>1883</v>
      </c>
      <c r="C1036" s="3" t="s">
        <v>3</v>
      </c>
      <c r="D1036" s="3" t="s">
        <v>38</v>
      </c>
      <c r="E1036" s="3" t="s">
        <v>1884</v>
      </c>
      <c r="F1036" s="4">
        <v>43500</v>
      </c>
      <c r="G1036" s="3"/>
      <c r="H1036" s="3"/>
      <c r="I1036" s="3" t="s">
        <v>7043</v>
      </c>
      <c r="J1036" s="3"/>
      <c r="K1036" s="3"/>
      <c r="L1036" s="5"/>
    </row>
    <row r="1037" spans="1:12" ht="28.8" x14ac:dyDescent="0.55000000000000004">
      <c r="A1037" s="9" t="str">
        <f>HYPERLINK("PDF\FOIA-FWS-2020-00724-0001036.pdf","FOIA-FWS-2020-00724-0001036")</f>
        <v>FOIA-FWS-2020-00724-0001036</v>
      </c>
      <c r="B1037" s="3" t="s">
        <v>1885</v>
      </c>
      <c r="C1037" s="3" t="s">
        <v>3</v>
      </c>
      <c r="D1037" s="3" t="s">
        <v>38</v>
      </c>
      <c r="E1037" s="3" t="s">
        <v>1886</v>
      </c>
      <c r="F1037" s="4">
        <v>43500</v>
      </c>
      <c r="G1037" s="3"/>
      <c r="H1037" s="3"/>
      <c r="I1037" s="3" t="s">
        <v>7043</v>
      </c>
      <c r="J1037" s="3"/>
      <c r="K1037" s="3"/>
      <c r="L1037" s="5"/>
    </row>
    <row r="1038" spans="1:12" ht="28.8" x14ac:dyDescent="0.55000000000000004">
      <c r="A1038" s="9" t="str">
        <f>HYPERLINK("PDF\FOIA-FWS-2020-00724-0001037.pdf","FOIA-FWS-2020-00724-0001037")</f>
        <v>FOIA-FWS-2020-00724-0001037</v>
      </c>
      <c r="B1038" s="3" t="s">
        <v>1887</v>
      </c>
      <c r="C1038" s="3" t="s">
        <v>3</v>
      </c>
      <c r="D1038" s="3" t="s">
        <v>38</v>
      </c>
      <c r="E1038" s="3" t="s">
        <v>1888</v>
      </c>
      <c r="F1038" s="4">
        <v>43500</v>
      </c>
      <c r="G1038" s="3"/>
      <c r="H1038" s="3"/>
      <c r="I1038" s="3" t="s">
        <v>7043</v>
      </c>
      <c r="J1038" s="3"/>
      <c r="K1038" s="3"/>
      <c r="L1038" s="5"/>
    </row>
    <row r="1039" spans="1:12" ht="28.8" x14ac:dyDescent="0.55000000000000004">
      <c r="A1039" s="9" t="str">
        <f>HYPERLINK("PDF\FOIA-FWS-2020-00724-0001038.pdf","FOIA-FWS-2020-00724-0001038")</f>
        <v>FOIA-FWS-2020-00724-0001038</v>
      </c>
      <c r="B1039" s="3" t="s">
        <v>1889</v>
      </c>
      <c r="C1039" s="3" t="s">
        <v>3</v>
      </c>
      <c r="D1039" s="3" t="s">
        <v>38</v>
      </c>
      <c r="E1039" s="3" t="s">
        <v>1890</v>
      </c>
      <c r="F1039" s="4">
        <v>43500</v>
      </c>
      <c r="G1039" s="3"/>
      <c r="H1039" s="3"/>
      <c r="I1039" s="3" t="s">
        <v>7043</v>
      </c>
      <c r="J1039" s="3"/>
      <c r="K1039" s="3"/>
      <c r="L1039" s="5"/>
    </row>
    <row r="1040" spans="1:12" ht="28.8" x14ac:dyDescent="0.55000000000000004">
      <c r="A1040" s="9" t="str">
        <f>HYPERLINK("PDF\FOIA-FWS-2020-00724-0001039.pdf","FOIA-FWS-2020-00724-0001039")</f>
        <v>FOIA-FWS-2020-00724-0001039</v>
      </c>
      <c r="B1040" s="3" t="s">
        <v>1891</v>
      </c>
      <c r="C1040" s="3" t="s">
        <v>3</v>
      </c>
      <c r="D1040" s="3" t="s">
        <v>38</v>
      </c>
      <c r="E1040" s="3" t="s">
        <v>1892</v>
      </c>
      <c r="F1040" s="4">
        <v>43500</v>
      </c>
      <c r="G1040" s="3"/>
      <c r="H1040" s="3"/>
      <c r="I1040" s="3" t="s">
        <v>7043</v>
      </c>
      <c r="J1040" s="3"/>
      <c r="K1040" s="3"/>
      <c r="L1040" s="5"/>
    </row>
    <row r="1041" spans="1:12" ht="28.8" x14ac:dyDescent="0.55000000000000004">
      <c r="A1041" s="9" t="str">
        <f>HYPERLINK("PDF\FOIA-FWS-2020-00724-0001040.pdf","FOIA-FWS-2020-00724-0001040")</f>
        <v>FOIA-FWS-2020-00724-0001040</v>
      </c>
      <c r="B1041" s="3" t="s">
        <v>1893</v>
      </c>
      <c r="C1041" s="3" t="s">
        <v>3</v>
      </c>
      <c r="D1041" s="3" t="s">
        <v>38</v>
      </c>
      <c r="E1041" s="3" t="s">
        <v>1894</v>
      </c>
      <c r="F1041" s="4">
        <v>43500</v>
      </c>
      <c r="G1041" s="3"/>
      <c r="H1041" s="3"/>
      <c r="I1041" s="3" t="s">
        <v>7043</v>
      </c>
      <c r="J1041" s="3"/>
      <c r="K1041" s="3"/>
      <c r="L1041" s="5"/>
    </row>
    <row r="1042" spans="1:12" ht="28.8" x14ac:dyDescent="0.55000000000000004">
      <c r="A1042" s="9" t="str">
        <f>HYPERLINK("PDF\FOIA-FWS-2020-00724-0001041.pdf","FOIA-FWS-2020-00724-0001041")</f>
        <v>FOIA-FWS-2020-00724-0001041</v>
      </c>
      <c r="B1042" s="3" t="s">
        <v>1895</v>
      </c>
      <c r="C1042" s="3" t="s">
        <v>3</v>
      </c>
      <c r="D1042" s="3" t="s">
        <v>38</v>
      </c>
      <c r="E1042" s="3" t="s">
        <v>1896</v>
      </c>
      <c r="F1042" s="4">
        <v>43500</v>
      </c>
      <c r="G1042" s="3"/>
      <c r="H1042" s="3"/>
      <c r="I1042" s="3" t="s">
        <v>7043</v>
      </c>
      <c r="J1042" s="3"/>
      <c r="K1042" s="3"/>
      <c r="L1042" s="5"/>
    </row>
    <row r="1043" spans="1:12" ht="28.8" x14ac:dyDescent="0.55000000000000004">
      <c r="A1043" s="9" t="str">
        <f>HYPERLINK("PDF\FOIA-FWS-2020-00724-0001042.pdf","FOIA-FWS-2020-00724-0001042")</f>
        <v>FOIA-FWS-2020-00724-0001042</v>
      </c>
      <c r="B1043" s="3" t="s">
        <v>1897</v>
      </c>
      <c r="C1043" s="3" t="s">
        <v>3</v>
      </c>
      <c r="D1043" s="3" t="s">
        <v>33</v>
      </c>
      <c r="E1043" s="3" t="s">
        <v>1899</v>
      </c>
      <c r="F1043" s="4">
        <v>43500.556250000001</v>
      </c>
      <c r="G1043" s="3" t="s">
        <v>1898</v>
      </c>
      <c r="H1043" s="3" t="s">
        <v>1250</v>
      </c>
      <c r="I1043" s="3" t="s">
        <v>7043</v>
      </c>
      <c r="J1043" s="3"/>
      <c r="K1043" s="3"/>
      <c r="L1043" s="5"/>
    </row>
    <row r="1044" spans="1:12" ht="28.8" x14ac:dyDescent="0.55000000000000004">
      <c r="A1044" s="9" t="str">
        <f>HYPERLINK("PDF\FOIA-FWS-2020-00724-0001043.pdf","FOIA-FWS-2020-00724-0001043")</f>
        <v>FOIA-FWS-2020-00724-0001043</v>
      </c>
      <c r="B1044" s="3" t="s">
        <v>1900</v>
      </c>
      <c r="C1044" s="3" t="s">
        <v>3</v>
      </c>
      <c r="D1044" s="3" t="s">
        <v>33</v>
      </c>
      <c r="E1044" s="3" t="s">
        <v>1901</v>
      </c>
      <c r="F1044" s="4">
        <v>43500.656944444447</v>
      </c>
      <c r="G1044" s="3" t="s">
        <v>1866</v>
      </c>
      <c r="H1044" s="3" t="s">
        <v>1867</v>
      </c>
      <c r="I1044" s="3" t="s">
        <v>7043</v>
      </c>
      <c r="J1044" s="3"/>
      <c r="K1044" s="3"/>
      <c r="L1044" s="5"/>
    </row>
    <row r="1045" spans="1:12" ht="28.8" x14ac:dyDescent="0.55000000000000004">
      <c r="A1045" s="9" t="str">
        <f>HYPERLINK("PDF\FOIA-FWS-2020-00724-0001044.pdf","FOIA-FWS-2020-00724-0001044")</f>
        <v>FOIA-FWS-2020-00724-0001044</v>
      </c>
      <c r="B1045" s="3" t="s">
        <v>1902</v>
      </c>
      <c r="C1045" s="3" t="s">
        <v>3</v>
      </c>
      <c r="D1045" s="3" t="s">
        <v>33</v>
      </c>
      <c r="E1045" s="3" t="s">
        <v>1903</v>
      </c>
      <c r="F1045" s="4">
        <v>43500.761111111111</v>
      </c>
      <c r="G1045" s="3" t="s">
        <v>955</v>
      </c>
      <c r="H1045" s="3" t="s">
        <v>872</v>
      </c>
      <c r="I1045" s="3" t="s">
        <v>7043</v>
      </c>
      <c r="J1045" s="3"/>
      <c r="K1045" s="3"/>
      <c r="L1045" s="5"/>
    </row>
    <row r="1046" spans="1:12" ht="28.8" x14ac:dyDescent="0.55000000000000004">
      <c r="A1046" s="9" t="str">
        <f>HYPERLINK("PDF\FOIA-FWS-2020-00724-0001045.pdf","FOIA-FWS-2020-00724-0001045")</f>
        <v>FOIA-FWS-2020-00724-0001045</v>
      </c>
      <c r="B1046" s="3" t="s">
        <v>1904</v>
      </c>
      <c r="C1046" s="3" t="s">
        <v>3</v>
      </c>
      <c r="D1046" s="3" t="s">
        <v>33</v>
      </c>
      <c r="E1046" s="3" t="s">
        <v>1905</v>
      </c>
      <c r="F1046" s="4">
        <v>43500.774305555555</v>
      </c>
      <c r="G1046" s="3" t="s">
        <v>1516</v>
      </c>
      <c r="H1046" s="3" t="s">
        <v>955</v>
      </c>
      <c r="I1046" s="3" t="s">
        <v>7043</v>
      </c>
      <c r="J1046" s="3"/>
      <c r="K1046" s="3"/>
      <c r="L1046" s="5"/>
    </row>
    <row r="1047" spans="1:12" ht="28.8" x14ac:dyDescent="0.55000000000000004">
      <c r="A1047" s="9" t="str">
        <f>HYPERLINK("PDF\FOIA-FWS-2020-00724-0001046.pdf","FOIA-FWS-2020-00724-0001046")</f>
        <v>FOIA-FWS-2020-00724-0001046</v>
      </c>
      <c r="B1047" s="3" t="s">
        <v>1904</v>
      </c>
      <c r="C1047" s="3" t="s">
        <v>234</v>
      </c>
      <c r="D1047" s="3" t="s">
        <v>33</v>
      </c>
      <c r="E1047" s="3" t="s">
        <v>1876</v>
      </c>
      <c r="F1047" s="4">
        <v>43500.774305555555</v>
      </c>
      <c r="G1047" s="3"/>
      <c r="H1047" s="3"/>
      <c r="I1047" s="3" t="s">
        <v>7043</v>
      </c>
      <c r="J1047" s="3"/>
      <c r="K1047" s="3"/>
      <c r="L1047" s="5"/>
    </row>
    <row r="1048" spans="1:12" ht="43.2" x14ac:dyDescent="0.55000000000000004">
      <c r="A1048" s="9" t="str">
        <f>HYPERLINK("PDF\FOIA-FWS-2020-00724-0001047.pdf","FOIA-FWS-2020-00724-0001047")</f>
        <v>FOIA-FWS-2020-00724-0001047</v>
      </c>
      <c r="B1048" s="3" t="s">
        <v>1906</v>
      </c>
      <c r="C1048" s="3" t="s">
        <v>3</v>
      </c>
      <c r="D1048" s="3" t="s">
        <v>33</v>
      </c>
      <c r="E1048" s="3" t="s">
        <v>1908</v>
      </c>
      <c r="F1048" s="4">
        <v>43500.802777777775</v>
      </c>
      <c r="G1048" s="3" t="s">
        <v>872</v>
      </c>
      <c r="H1048" s="3" t="s">
        <v>1907</v>
      </c>
      <c r="I1048" s="3" t="s">
        <v>7043</v>
      </c>
      <c r="J1048" s="3"/>
      <c r="K1048" s="3"/>
      <c r="L1048" s="5"/>
    </row>
    <row r="1049" spans="1:12" ht="28.8" x14ac:dyDescent="0.55000000000000004">
      <c r="A1049" s="9" t="str">
        <f>HYPERLINK("PDF\FOIA-FWS-2020-00724-0001048.pdf","FOIA-FWS-2020-00724-0001048")</f>
        <v>FOIA-FWS-2020-00724-0001048</v>
      </c>
      <c r="B1049" s="3" t="s">
        <v>1906</v>
      </c>
      <c r="C1049" s="3" t="s">
        <v>234</v>
      </c>
      <c r="D1049" s="3" t="s">
        <v>160</v>
      </c>
      <c r="E1049" s="3" t="s">
        <v>1909</v>
      </c>
      <c r="F1049" s="4">
        <v>43500.802777777775</v>
      </c>
      <c r="G1049" s="3"/>
      <c r="H1049" s="3"/>
      <c r="I1049" s="3" t="s">
        <v>7043</v>
      </c>
      <c r="J1049" s="3"/>
      <c r="K1049" s="3"/>
      <c r="L1049" s="5" t="str">
        <f>HYPERLINK("NATIVE_FILES\FOIA-FWS-2020-00724-0001048.dbf","FOIA-FWS-2020-00724-0001048.dbf")</f>
        <v>FOIA-FWS-2020-00724-0001048.dbf</v>
      </c>
    </row>
    <row r="1050" spans="1:12" ht="28.8" x14ac:dyDescent="0.55000000000000004">
      <c r="A1050" s="9" t="str">
        <f>HYPERLINK("PDF\FOIA-FWS-2020-00724-0001049.pdf","FOIA-FWS-2020-00724-0001049")</f>
        <v>FOIA-FWS-2020-00724-0001049</v>
      </c>
      <c r="B1050" s="3" t="s">
        <v>1906</v>
      </c>
      <c r="C1050" s="3" t="s">
        <v>234</v>
      </c>
      <c r="D1050" s="3" t="s">
        <v>160</v>
      </c>
      <c r="E1050" s="3" t="s">
        <v>1910</v>
      </c>
      <c r="F1050" s="4">
        <v>43500.802777777775</v>
      </c>
      <c r="G1050" s="3"/>
      <c r="H1050" s="3"/>
      <c r="I1050" s="3" t="s">
        <v>7043</v>
      </c>
      <c r="J1050" s="3"/>
      <c r="K1050" s="3"/>
      <c r="L1050" s="5" t="str">
        <f>HYPERLINK("NATIVE_FILES\FOIA-FWS-2020-00724-0001049.prj","FOIA-FWS-2020-00724-0001049.prj")</f>
        <v>FOIA-FWS-2020-00724-0001049.prj</v>
      </c>
    </row>
    <row r="1051" spans="1:12" ht="28.8" x14ac:dyDescent="0.55000000000000004">
      <c r="A1051" s="9" t="str">
        <f>HYPERLINK("PDF\FOIA-FWS-2020-00724-0001050.pdf","FOIA-FWS-2020-00724-0001050")</f>
        <v>FOIA-FWS-2020-00724-0001050</v>
      </c>
      <c r="B1051" s="3" t="s">
        <v>1906</v>
      </c>
      <c r="C1051" s="3" t="s">
        <v>234</v>
      </c>
      <c r="D1051" s="3" t="s">
        <v>160</v>
      </c>
      <c r="E1051" s="3" t="s">
        <v>1911</v>
      </c>
      <c r="F1051" s="4">
        <v>43500.802777777775</v>
      </c>
      <c r="G1051" s="3"/>
      <c r="H1051" s="3"/>
      <c r="I1051" s="3" t="s">
        <v>7043</v>
      </c>
      <c r="J1051" s="3"/>
      <c r="K1051" s="3"/>
      <c r="L1051" s="5" t="str">
        <f>HYPERLINK("NATIVE_FILES\FOIA-FWS-2020-00724-0001050.shp","FOIA-FWS-2020-00724-0001050.shp")</f>
        <v>FOIA-FWS-2020-00724-0001050.shp</v>
      </c>
    </row>
    <row r="1052" spans="1:12" ht="28.8" x14ac:dyDescent="0.55000000000000004">
      <c r="A1052" s="9" t="str">
        <f>HYPERLINK("PDF\FOIA-FWS-2020-00724-0001051.pdf","FOIA-FWS-2020-00724-0001051")</f>
        <v>FOIA-FWS-2020-00724-0001051</v>
      </c>
      <c r="B1052" s="3" t="s">
        <v>1906</v>
      </c>
      <c r="C1052" s="3" t="s">
        <v>234</v>
      </c>
      <c r="D1052" s="3" t="s">
        <v>160</v>
      </c>
      <c r="E1052" s="3" t="s">
        <v>1912</v>
      </c>
      <c r="F1052" s="4">
        <v>43500.802777777775</v>
      </c>
      <c r="G1052" s="3"/>
      <c r="H1052" s="3"/>
      <c r="I1052" s="3" t="s">
        <v>7043</v>
      </c>
      <c r="J1052" s="3"/>
      <c r="K1052" s="3"/>
      <c r="L1052" s="5" t="str">
        <f>HYPERLINK("NATIVE_FILES\FOIA-FWS-2020-00724-0001051.xml","FOIA-FWS-2020-00724-0001051.xml")</f>
        <v>FOIA-FWS-2020-00724-0001051.xml</v>
      </c>
    </row>
    <row r="1053" spans="1:12" ht="28.8" x14ac:dyDescent="0.55000000000000004">
      <c r="A1053" s="9" t="str">
        <f>HYPERLINK("PDF\FOIA-FWS-2020-00724-0001052.pdf","FOIA-FWS-2020-00724-0001052")</f>
        <v>FOIA-FWS-2020-00724-0001052</v>
      </c>
      <c r="B1053" s="3" t="s">
        <v>1906</v>
      </c>
      <c r="C1053" s="3" t="s">
        <v>234</v>
      </c>
      <c r="D1053" s="3" t="s">
        <v>160</v>
      </c>
      <c r="E1053" s="3" t="s">
        <v>1913</v>
      </c>
      <c r="F1053" s="4">
        <v>43500.802777777775</v>
      </c>
      <c r="G1053" s="3"/>
      <c r="H1053" s="3"/>
      <c r="I1053" s="3" t="s">
        <v>7043</v>
      </c>
      <c r="J1053" s="3"/>
      <c r="K1053" s="3"/>
      <c r="L1053" s="5" t="str">
        <f>HYPERLINK("NATIVE_FILES\FOIA-FWS-2020-00724-0001052.shx","FOIA-FWS-2020-00724-0001052.shx")</f>
        <v>FOIA-FWS-2020-00724-0001052.shx</v>
      </c>
    </row>
    <row r="1054" spans="1:12" ht="28.8" x14ac:dyDescent="0.55000000000000004">
      <c r="A1054" s="9" t="str">
        <f>HYPERLINK("PDF\FOIA-FWS-2020-00724-0001053.pdf","FOIA-FWS-2020-00724-0001053")</f>
        <v>FOIA-FWS-2020-00724-0001053</v>
      </c>
      <c r="B1054" s="3" t="s">
        <v>1906</v>
      </c>
      <c r="C1054" s="3" t="s">
        <v>234</v>
      </c>
      <c r="D1054" s="3" t="s">
        <v>160</v>
      </c>
      <c r="E1054" s="3" t="s">
        <v>1914</v>
      </c>
      <c r="F1054" s="4">
        <v>43500.802777777775</v>
      </c>
      <c r="G1054" s="3"/>
      <c r="H1054" s="3"/>
      <c r="I1054" s="3" t="s">
        <v>7043</v>
      </c>
      <c r="J1054" s="3"/>
      <c r="K1054" s="3"/>
      <c r="L1054" s="5" t="str">
        <f>HYPERLINK("NATIVE_FILES\FOIA-FWS-2020-00724-0001053.dbf","FOIA-FWS-2020-00724-0001053.dbf")</f>
        <v>FOIA-FWS-2020-00724-0001053.dbf</v>
      </c>
    </row>
    <row r="1055" spans="1:12" ht="28.8" x14ac:dyDescent="0.55000000000000004">
      <c r="A1055" s="9" t="str">
        <f>HYPERLINK("PDF\FOIA-FWS-2020-00724-0001054.pdf","FOIA-FWS-2020-00724-0001054")</f>
        <v>FOIA-FWS-2020-00724-0001054</v>
      </c>
      <c r="B1055" s="3" t="s">
        <v>1906</v>
      </c>
      <c r="C1055" s="3" t="s">
        <v>234</v>
      </c>
      <c r="D1055" s="3" t="s">
        <v>160</v>
      </c>
      <c r="E1055" s="3" t="s">
        <v>1915</v>
      </c>
      <c r="F1055" s="4">
        <v>43500.802777777775</v>
      </c>
      <c r="G1055" s="3"/>
      <c r="H1055" s="3"/>
      <c r="I1055" s="3" t="s">
        <v>7043</v>
      </c>
      <c r="J1055" s="3"/>
      <c r="K1055" s="3"/>
      <c r="L1055" s="5" t="str">
        <f>HYPERLINK("NATIVE_FILES\FOIA-FWS-2020-00724-0001054.prj","FOIA-FWS-2020-00724-0001054.prj")</f>
        <v>FOIA-FWS-2020-00724-0001054.prj</v>
      </c>
    </row>
    <row r="1056" spans="1:12" ht="28.8" x14ac:dyDescent="0.55000000000000004">
      <c r="A1056" s="9" t="str">
        <f>HYPERLINK("PDF\FOIA-FWS-2020-00724-0001055.pdf","FOIA-FWS-2020-00724-0001055")</f>
        <v>FOIA-FWS-2020-00724-0001055</v>
      </c>
      <c r="B1056" s="3" t="s">
        <v>1906</v>
      </c>
      <c r="C1056" s="3" t="s">
        <v>234</v>
      </c>
      <c r="D1056" s="3" t="s">
        <v>160</v>
      </c>
      <c r="E1056" s="3" t="s">
        <v>1916</v>
      </c>
      <c r="F1056" s="4">
        <v>43500.802777777775</v>
      </c>
      <c r="G1056" s="3"/>
      <c r="H1056" s="3"/>
      <c r="I1056" s="3" t="s">
        <v>7043</v>
      </c>
      <c r="J1056" s="3"/>
      <c r="K1056" s="3"/>
      <c r="L1056" s="5" t="str">
        <f>HYPERLINK("NATIVE_FILES\FOIA-FWS-2020-00724-0001055.sbn","FOIA-FWS-2020-00724-0001055.sbn")</f>
        <v>FOIA-FWS-2020-00724-0001055.sbn</v>
      </c>
    </row>
    <row r="1057" spans="1:12" ht="28.8" x14ac:dyDescent="0.55000000000000004">
      <c r="A1057" s="9" t="str">
        <f>HYPERLINK("PDF\FOIA-FWS-2020-00724-0001056.pdf","FOIA-FWS-2020-00724-0001056")</f>
        <v>FOIA-FWS-2020-00724-0001056</v>
      </c>
      <c r="B1057" s="3" t="s">
        <v>1906</v>
      </c>
      <c r="C1057" s="3" t="s">
        <v>234</v>
      </c>
      <c r="D1057" s="3" t="s">
        <v>160</v>
      </c>
      <c r="E1057" s="3" t="s">
        <v>1917</v>
      </c>
      <c r="F1057" s="4">
        <v>43500.802777777775</v>
      </c>
      <c r="G1057" s="3"/>
      <c r="H1057" s="3"/>
      <c r="I1057" s="3" t="s">
        <v>7043</v>
      </c>
      <c r="J1057" s="3"/>
      <c r="K1057" s="3"/>
      <c r="L1057" s="5" t="str">
        <f>HYPERLINK("NATIVE_FILES\FOIA-FWS-2020-00724-0001056.sbx","FOIA-FWS-2020-00724-0001056.sbx")</f>
        <v>FOIA-FWS-2020-00724-0001056.sbx</v>
      </c>
    </row>
    <row r="1058" spans="1:12" ht="28.8" x14ac:dyDescent="0.55000000000000004">
      <c r="A1058" s="9" t="str">
        <f>HYPERLINK("PDF\FOIA-FWS-2020-00724-0001057.pdf","FOIA-FWS-2020-00724-0001057")</f>
        <v>FOIA-FWS-2020-00724-0001057</v>
      </c>
      <c r="B1058" s="3" t="s">
        <v>1906</v>
      </c>
      <c r="C1058" s="3" t="s">
        <v>234</v>
      </c>
      <c r="D1058" s="3" t="s">
        <v>160</v>
      </c>
      <c r="E1058" s="3" t="s">
        <v>1918</v>
      </c>
      <c r="F1058" s="4">
        <v>43500.802777777775</v>
      </c>
      <c r="G1058" s="3"/>
      <c r="H1058" s="3"/>
      <c r="I1058" s="3" t="s">
        <v>7043</v>
      </c>
      <c r="J1058" s="3"/>
      <c r="K1058" s="3"/>
      <c r="L1058" s="5" t="str">
        <f>HYPERLINK("NATIVE_FILES\FOIA-FWS-2020-00724-0001057.shp","FOIA-FWS-2020-00724-0001057.shp")</f>
        <v>FOIA-FWS-2020-00724-0001057.shp</v>
      </c>
    </row>
    <row r="1059" spans="1:12" ht="28.8" x14ac:dyDescent="0.55000000000000004">
      <c r="A1059" s="9" t="str">
        <f>HYPERLINK("PDF\FOIA-FWS-2020-00724-0001058.pdf","FOIA-FWS-2020-00724-0001058")</f>
        <v>FOIA-FWS-2020-00724-0001058</v>
      </c>
      <c r="B1059" s="3" t="s">
        <v>1906</v>
      </c>
      <c r="C1059" s="3" t="s">
        <v>234</v>
      </c>
      <c r="D1059" s="3" t="s">
        <v>160</v>
      </c>
      <c r="E1059" s="3" t="s">
        <v>1919</v>
      </c>
      <c r="F1059" s="4">
        <v>43500.802777777775</v>
      </c>
      <c r="G1059" s="3"/>
      <c r="H1059" s="3"/>
      <c r="I1059" s="3" t="s">
        <v>7043</v>
      </c>
      <c r="J1059" s="3"/>
      <c r="K1059" s="3"/>
      <c r="L1059" s="5" t="str">
        <f>HYPERLINK("NATIVE_FILES\FOIA-FWS-2020-00724-0001058.xml","FOIA-FWS-2020-00724-0001058.xml")</f>
        <v>FOIA-FWS-2020-00724-0001058.xml</v>
      </c>
    </row>
    <row r="1060" spans="1:12" ht="28.8" x14ac:dyDescent="0.55000000000000004">
      <c r="A1060" s="9" t="str">
        <f>HYPERLINK("PDF\FOIA-FWS-2020-00724-0001059.pdf","FOIA-FWS-2020-00724-0001059")</f>
        <v>FOIA-FWS-2020-00724-0001059</v>
      </c>
      <c r="B1060" s="3" t="s">
        <v>1906</v>
      </c>
      <c r="C1060" s="3" t="s">
        <v>234</v>
      </c>
      <c r="D1060" s="3" t="s">
        <v>160</v>
      </c>
      <c r="E1060" s="3" t="s">
        <v>1920</v>
      </c>
      <c r="F1060" s="4">
        <v>43500.802777777775</v>
      </c>
      <c r="G1060" s="3"/>
      <c r="H1060" s="3"/>
      <c r="I1060" s="3" t="s">
        <v>7043</v>
      </c>
      <c r="J1060" s="3"/>
      <c r="K1060" s="3"/>
      <c r="L1060" s="5" t="str">
        <f>HYPERLINK("NATIVE_FILES\FOIA-FWS-2020-00724-0001059.shx","FOIA-FWS-2020-00724-0001059.shx")</f>
        <v>FOIA-FWS-2020-00724-0001059.shx</v>
      </c>
    </row>
    <row r="1061" spans="1:12" ht="28.8" x14ac:dyDescent="0.55000000000000004">
      <c r="A1061" s="9" t="str">
        <f>HYPERLINK("PDF\FOIA-FWS-2020-00724-0001060.pdf","FOIA-FWS-2020-00724-0001060")</f>
        <v>FOIA-FWS-2020-00724-0001060</v>
      </c>
      <c r="B1061" s="3" t="s">
        <v>1921</v>
      </c>
      <c r="C1061" s="3" t="s">
        <v>3</v>
      </c>
      <c r="D1061" s="3" t="s">
        <v>33</v>
      </c>
      <c r="E1061" s="3" t="s">
        <v>1922</v>
      </c>
      <c r="F1061" s="4">
        <v>43501</v>
      </c>
      <c r="G1061" s="3"/>
      <c r="H1061" s="3"/>
      <c r="I1061" s="3" t="s">
        <v>7043</v>
      </c>
      <c r="J1061" s="3"/>
      <c r="K1061" s="3"/>
      <c r="L1061" s="5"/>
    </row>
    <row r="1062" spans="1:12" ht="28.8" x14ac:dyDescent="0.55000000000000004">
      <c r="A1062" s="9" t="str">
        <f>HYPERLINK("PDF\FOIA-FWS-2020-00724-0001061.pdf","FOIA-FWS-2020-00724-0001061")</f>
        <v>FOIA-FWS-2020-00724-0001061</v>
      </c>
      <c r="B1062" s="3" t="s">
        <v>1923</v>
      </c>
      <c r="C1062" s="3" t="s">
        <v>3</v>
      </c>
      <c r="D1062" s="3" t="s">
        <v>4</v>
      </c>
      <c r="E1062" s="3" t="s">
        <v>1924</v>
      </c>
      <c r="F1062" s="4">
        <v>43501</v>
      </c>
      <c r="G1062" s="3"/>
      <c r="H1062" s="3"/>
      <c r="I1062" s="3" t="s">
        <v>7043</v>
      </c>
      <c r="J1062" s="3"/>
      <c r="K1062" s="3"/>
      <c r="L1062" s="5" t="str">
        <f>HYPERLINK("NATIVE_FILES\FOIA-FWS-2020-00724-0001061.wmv","FOIA-FWS-2020-00724-0001061.wmv")</f>
        <v>FOIA-FWS-2020-00724-0001061.wmv</v>
      </c>
    </row>
    <row r="1063" spans="1:12" ht="28.8" x14ac:dyDescent="0.55000000000000004">
      <c r="A1063" s="9" t="str">
        <f>HYPERLINK("PDF\FOIA-FWS-2020-00724-0001062.pdf","FOIA-FWS-2020-00724-0001062")</f>
        <v>FOIA-FWS-2020-00724-0001062</v>
      </c>
      <c r="B1063" s="3" t="s">
        <v>1925</v>
      </c>
      <c r="C1063" s="3" t="s">
        <v>3</v>
      </c>
      <c r="D1063" s="3" t="s">
        <v>4</v>
      </c>
      <c r="E1063" s="3" t="s">
        <v>1926</v>
      </c>
      <c r="F1063" s="4">
        <v>43501</v>
      </c>
      <c r="G1063" s="3"/>
      <c r="H1063" s="3"/>
      <c r="I1063" s="3" t="s">
        <v>7043</v>
      </c>
      <c r="J1063" s="3"/>
      <c r="K1063" s="3"/>
      <c r="L1063" s="5"/>
    </row>
    <row r="1064" spans="1:12" ht="28.8" x14ac:dyDescent="0.55000000000000004">
      <c r="A1064" s="9" t="str">
        <f>HYPERLINK("PDF\FOIA-FWS-2020-00724-0001063.pdf","FOIA-FWS-2020-00724-0001063")</f>
        <v>FOIA-FWS-2020-00724-0001063</v>
      </c>
      <c r="B1064" s="3" t="s">
        <v>1927</v>
      </c>
      <c r="C1064" s="3" t="s">
        <v>3</v>
      </c>
      <c r="D1064" s="3" t="s">
        <v>4</v>
      </c>
      <c r="E1064" s="3" t="s">
        <v>1928</v>
      </c>
      <c r="F1064" s="4">
        <v>43501</v>
      </c>
      <c r="G1064" s="3"/>
      <c r="H1064" s="3"/>
      <c r="I1064" s="3" t="s">
        <v>7043</v>
      </c>
      <c r="J1064" s="3"/>
      <c r="K1064" s="3"/>
      <c r="L1064" s="5"/>
    </row>
    <row r="1065" spans="1:12" ht="28.8" x14ac:dyDescent="0.55000000000000004">
      <c r="A1065" s="9" t="str">
        <f>HYPERLINK("PDF\FOIA-FWS-2020-00724-0001064.pdf","FOIA-FWS-2020-00724-0001064")</f>
        <v>FOIA-FWS-2020-00724-0001064</v>
      </c>
      <c r="B1065" s="3" t="s">
        <v>1929</v>
      </c>
      <c r="C1065" s="3" t="s">
        <v>3</v>
      </c>
      <c r="D1065" s="3" t="s">
        <v>33</v>
      </c>
      <c r="E1065" s="3" t="s">
        <v>1930</v>
      </c>
      <c r="F1065" s="4">
        <v>43501</v>
      </c>
      <c r="G1065" s="3"/>
      <c r="H1065" s="3"/>
      <c r="I1065" s="3" t="s">
        <v>7043</v>
      </c>
      <c r="J1065" s="3"/>
      <c r="K1065" s="3"/>
      <c r="L1065" s="5"/>
    </row>
    <row r="1066" spans="1:12" ht="28.8" x14ac:dyDescent="0.55000000000000004">
      <c r="A1066" s="9" t="str">
        <f>HYPERLINK("PDF\FOIA-FWS-2020-00724-0001065.pdf","FOIA-FWS-2020-00724-0001065")</f>
        <v>FOIA-FWS-2020-00724-0001065</v>
      </c>
      <c r="B1066" s="3" t="s">
        <v>1931</v>
      </c>
      <c r="C1066" s="3" t="s">
        <v>3</v>
      </c>
      <c r="D1066" s="3" t="s">
        <v>38</v>
      </c>
      <c r="E1066" s="3" t="s">
        <v>1932</v>
      </c>
      <c r="F1066" s="4">
        <v>43501</v>
      </c>
      <c r="G1066" s="3"/>
      <c r="H1066" s="3"/>
      <c r="I1066" s="3" t="s">
        <v>7043</v>
      </c>
      <c r="J1066" s="3"/>
      <c r="K1066" s="3"/>
      <c r="L1066" s="5"/>
    </row>
    <row r="1067" spans="1:12" ht="28.8" x14ac:dyDescent="0.55000000000000004">
      <c r="A1067" s="9" t="str">
        <f>HYPERLINK("PDF\FOIA-FWS-2020-00724-0001066.pdf","FOIA-FWS-2020-00724-0001066")</f>
        <v>FOIA-FWS-2020-00724-0001066</v>
      </c>
      <c r="B1067" s="3" t="s">
        <v>1933</v>
      </c>
      <c r="C1067" s="3" t="s">
        <v>3</v>
      </c>
      <c r="D1067" s="3" t="s">
        <v>38</v>
      </c>
      <c r="E1067" s="3" t="s">
        <v>1934</v>
      </c>
      <c r="F1067" s="4">
        <v>43501</v>
      </c>
      <c r="G1067" s="3"/>
      <c r="H1067" s="3"/>
      <c r="I1067" s="3" t="s">
        <v>7043</v>
      </c>
      <c r="J1067" s="3"/>
      <c r="K1067" s="3"/>
      <c r="L1067" s="5"/>
    </row>
    <row r="1068" spans="1:12" ht="28.8" x14ac:dyDescent="0.55000000000000004">
      <c r="A1068" s="9" t="str">
        <f>HYPERLINK("PDF\FOIA-FWS-2020-00724-0001067.pdf","FOIA-FWS-2020-00724-0001067")</f>
        <v>FOIA-FWS-2020-00724-0001067</v>
      </c>
      <c r="B1068" s="3" t="s">
        <v>1935</v>
      </c>
      <c r="C1068" s="3" t="s">
        <v>3</v>
      </c>
      <c r="D1068" s="3" t="s">
        <v>38</v>
      </c>
      <c r="E1068" s="3" t="s">
        <v>1936</v>
      </c>
      <c r="F1068" s="4">
        <v>43501</v>
      </c>
      <c r="G1068" s="3"/>
      <c r="H1068" s="3"/>
      <c r="I1068" s="3" t="s">
        <v>7043</v>
      </c>
      <c r="J1068" s="3"/>
      <c r="K1068" s="3"/>
      <c r="L1068" s="5"/>
    </row>
    <row r="1069" spans="1:12" ht="28.8" x14ac:dyDescent="0.55000000000000004">
      <c r="A1069" s="9" t="str">
        <f>HYPERLINK("PDF\FOIA-FWS-2020-00724-0001068.pdf","FOIA-FWS-2020-00724-0001068")</f>
        <v>FOIA-FWS-2020-00724-0001068</v>
      </c>
      <c r="B1069" s="3" t="s">
        <v>1937</v>
      </c>
      <c r="C1069" s="3" t="s">
        <v>3</v>
      </c>
      <c r="D1069" s="3" t="s">
        <v>33</v>
      </c>
      <c r="E1069" s="3" t="s">
        <v>1938</v>
      </c>
      <c r="F1069" s="4">
        <v>43501</v>
      </c>
      <c r="G1069" s="3"/>
      <c r="H1069" s="3"/>
      <c r="I1069" s="3" t="s">
        <v>7048</v>
      </c>
      <c r="J1069" s="3" t="s">
        <v>7050</v>
      </c>
      <c r="K1069" s="3" t="s">
        <v>7036</v>
      </c>
      <c r="L1069" s="5"/>
    </row>
    <row r="1070" spans="1:12" ht="43.2" x14ac:dyDescent="0.55000000000000004">
      <c r="A1070" s="9" t="str">
        <f>HYPERLINK("PDF\FOIA-FWS-2020-00724-0001069.pdf","FOIA-FWS-2020-00724-0001069")</f>
        <v>FOIA-FWS-2020-00724-0001069</v>
      </c>
      <c r="B1070" s="3" t="s">
        <v>1939</v>
      </c>
      <c r="C1070" s="3" t="s">
        <v>3</v>
      </c>
      <c r="D1070" s="3" t="s">
        <v>33</v>
      </c>
      <c r="E1070" s="3" t="s">
        <v>1940</v>
      </c>
      <c r="F1070" s="4">
        <v>43501</v>
      </c>
      <c r="G1070" s="3"/>
      <c r="H1070" s="3"/>
      <c r="I1070" s="3" t="s">
        <v>7044</v>
      </c>
      <c r="J1070" s="3" t="s">
        <v>7046</v>
      </c>
      <c r="K1070" s="3" t="s">
        <v>7036</v>
      </c>
      <c r="L1070" s="5"/>
    </row>
    <row r="1071" spans="1:12" ht="187.2" x14ac:dyDescent="0.55000000000000004">
      <c r="A1071" s="9" t="str">
        <f>HYPERLINK("PDF\FOIA-FWS-2020-00724-0001070.pdf","FOIA-FWS-2020-00724-0001070")</f>
        <v>FOIA-FWS-2020-00724-0001070</v>
      </c>
      <c r="B1071" s="3" t="s">
        <v>1941</v>
      </c>
      <c r="C1071" s="3" t="s">
        <v>3</v>
      </c>
      <c r="D1071" s="3" t="s">
        <v>33</v>
      </c>
      <c r="E1071" s="3" t="s">
        <v>1944</v>
      </c>
      <c r="F1071" s="4">
        <v>43501.494444444441</v>
      </c>
      <c r="G1071" s="3" t="s">
        <v>1942</v>
      </c>
      <c r="H1071" s="3" t="s">
        <v>1943</v>
      </c>
      <c r="I1071" s="3" t="s">
        <v>864</v>
      </c>
      <c r="J1071" s="3" t="s">
        <v>7046</v>
      </c>
      <c r="K1071" s="3" t="s">
        <v>7036</v>
      </c>
      <c r="L1071" s="5"/>
    </row>
    <row r="1072" spans="1:12" ht="28.8" x14ac:dyDescent="0.55000000000000004">
      <c r="A1072" s="9" t="str">
        <f>HYPERLINK("PDF\FOIA-FWS-2020-00724-0001071.pdf","FOIA-FWS-2020-00724-0001071")</f>
        <v>FOIA-FWS-2020-00724-0001071</v>
      </c>
      <c r="B1072" s="3" t="s">
        <v>1945</v>
      </c>
      <c r="C1072" s="3" t="s">
        <v>3</v>
      </c>
      <c r="D1072" s="3" t="s">
        <v>33</v>
      </c>
      <c r="E1072" s="3" t="s">
        <v>1946</v>
      </c>
      <c r="F1072" s="4">
        <v>43501.532638888886</v>
      </c>
      <c r="G1072" s="3" t="s">
        <v>955</v>
      </c>
      <c r="H1072" s="3" t="s">
        <v>1119</v>
      </c>
      <c r="I1072" s="3" t="s">
        <v>7043</v>
      </c>
      <c r="J1072" s="3"/>
      <c r="K1072" s="3"/>
      <c r="L1072" s="5"/>
    </row>
    <row r="1073" spans="1:12" ht="28.8" x14ac:dyDescent="0.55000000000000004">
      <c r="A1073" s="9" t="str">
        <f>HYPERLINK("PDF\FOIA-FWS-2020-00724-0001072.pdf","FOIA-FWS-2020-00724-0001072")</f>
        <v>FOIA-FWS-2020-00724-0001072</v>
      </c>
      <c r="B1073" s="3" t="s">
        <v>1947</v>
      </c>
      <c r="C1073" s="3" t="s">
        <v>3</v>
      </c>
      <c r="D1073" s="3" t="s">
        <v>33</v>
      </c>
      <c r="E1073" s="3" t="s">
        <v>1946</v>
      </c>
      <c r="F1073" s="4">
        <v>43501.540972222225</v>
      </c>
      <c r="G1073" s="3" t="s">
        <v>945</v>
      </c>
      <c r="H1073" s="3" t="s">
        <v>1119</v>
      </c>
      <c r="I1073" s="3" t="s">
        <v>7043</v>
      </c>
      <c r="J1073" s="3"/>
      <c r="K1073" s="3"/>
      <c r="L1073" s="5"/>
    </row>
    <row r="1074" spans="1:12" ht="28.8" x14ac:dyDescent="0.55000000000000004">
      <c r="A1074" s="9" t="str">
        <f>HYPERLINK("PDF\FOIA-FWS-2020-00724-0001073.pdf","FOIA-FWS-2020-00724-0001073")</f>
        <v>FOIA-FWS-2020-00724-0001073</v>
      </c>
      <c r="B1074" s="3" t="s">
        <v>1948</v>
      </c>
      <c r="C1074" s="3" t="s">
        <v>3</v>
      </c>
      <c r="D1074" s="3" t="s">
        <v>33</v>
      </c>
      <c r="E1074" s="3" t="s">
        <v>1946</v>
      </c>
      <c r="F1074" s="4">
        <v>43501.568749999999</v>
      </c>
      <c r="G1074" s="3" t="s">
        <v>955</v>
      </c>
      <c r="H1074" s="3" t="s">
        <v>945</v>
      </c>
      <c r="I1074" s="3" t="s">
        <v>7043</v>
      </c>
      <c r="J1074" s="3"/>
      <c r="K1074" s="3"/>
      <c r="L1074" s="5"/>
    </row>
    <row r="1075" spans="1:12" ht="28.8" x14ac:dyDescent="0.55000000000000004">
      <c r="A1075" s="9" t="str">
        <f>HYPERLINK("PDF\FOIA-FWS-2020-00724-0001074.pdf","FOIA-FWS-2020-00724-0001074")</f>
        <v>FOIA-FWS-2020-00724-0001074</v>
      </c>
      <c r="B1075" s="3" t="s">
        <v>1949</v>
      </c>
      <c r="C1075" s="3" t="s">
        <v>3</v>
      </c>
      <c r="D1075" s="3" t="s">
        <v>33</v>
      </c>
      <c r="E1075" s="3" t="s">
        <v>1951</v>
      </c>
      <c r="F1075" s="4">
        <v>43501.615972222222</v>
      </c>
      <c r="G1075" s="3" t="s">
        <v>872</v>
      </c>
      <c r="H1075" s="3" t="s">
        <v>1950</v>
      </c>
      <c r="I1075" s="3" t="s">
        <v>7043</v>
      </c>
      <c r="J1075" s="3"/>
      <c r="K1075" s="3"/>
      <c r="L1075" s="5"/>
    </row>
    <row r="1076" spans="1:12" ht="28.8" x14ac:dyDescent="0.55000000000000004">
      <c r="A1076" s="9" t="str">
        <f>HYPERLINK("PDF\FOIA-FWS-2020-00724-0001075.pdf","FOIA-FWS-2020-00724-0001075")</f>
        <v>FOIA-FWS-2020-00724-0001075</v>
      </c>
      <c r="B1076" s="3" t="s">
        <v>1949</v>
      </c>
      <c r="C1076" s="3" t="s">
        <v>234</v>
      </c>
      <c r="D1076" s="3" t="s">
        <v>33</v>
      </c>
      <c r="E1076" s="3" t="s">
        <v>1952</v>
      </c>
      <c r="F1076" s="4">
        <v>43501.615972222222</v>
      </c>
      <c r="G1076" s="3"/>
      <c r="H1076" s="3"/>
      <c r="I1076" s="3" t="s">
        <v>7043</v>
      </c>
      <c r="J1076" s="3"/>
      <c r="K1076" s="3"/>
      <c r="L1076" s="5"/>
    </row>
    <row r="1077" spans="1:12" ht="28.8" x14ac:dyDescent="0.55000000000000004">
      <c r="A1077" s="9" t="str">
        <f>HYPERLINK("PDF\FOIA-FWS-2020-00724-0001076.pdf","FOIA-FWS-2020-00724-0001076")</f>
        <v>FOIA-FWS-2020-00724-0001076</v>
      </c>
      <c r="B1077" s="3" t="s">
        <v>1953</v>
      </c>
      <c r="C1077" s="3" t="s">
        <v>3</v>
      </c>
      <c r="D1077" s="3" t="s">
        <v>33</v>
      </c>
      <c r="E1077" s="3" t="s">
        <v>1956</v>
      </c>
      <c r="F1077" s="4">
        <v>43501.622916666667</v>
      </c>
      <c r="G1077" s="3" t="s">
        <v>1954</v>
      </c>
      <c r="H1077" s="3" t="s">
        <v>1955</v>
      </c>
      <c r="I1077" s="3" t="s">
        <v>7043</v>
      </c>
      <c r="J1077" s="3"/>
      <c r="K1077" s="3"/>
      <c r="L1077" s="5"/>
    </row>
    <row r="1078" spans="1:12" ht="28.8" x14ac:dyDescent="0.55000000000000004">
      <c r="A1078" s="9" t="str">
        <f>HYPERLINK("PDF\FOIA-FWS-2020-00724-0001077.pdf","FOIA-FWS-2020-00724-0001077")</f>
        <v>FOIA-FWS-2020-00724-0001077</v>
      </c>
      <c r="B1078" s="3" t="s">
        <v>1957</v>
      </c>
      <c r="C1078" s="3" t="s">
        <v>3</v>
      </c>
      <c r="D1078" s="3" t="s">
        <v>33</v>
      </c>
      <c r="E1078" s="3" t="s">
        <v>1960</v>
      </c>
      <c r="F1078" s="4">
        <v>43501.660416666666</v>
      </c>
      <c r="G1078" s="3" t="s">
        <v>1958</v>
      </c>
      <c r="H1078" s="3" t="s">
        <v>1959</v>
      </c>
      <c r="I1078" s="3" t="s">
        <v>7043</v>
      </c>
      <c r="J1078" s="3"/>
      <c r="K1078" s="3"/>
      <c r="L1078" s="5"/>
    </row>
    <row r="1079" spans="1:12" ht="28.8" x14ac:dyDescent="0.55000000000000004">
      <c r="A1079" s="9" t="str">
        <f>HYPERLINK("PDF\FOIA-FWS-2020-00724-0001078.pdf","FOIA-FWS-2020-00724-0001078")</f>
        <v>FOIA-FWS-2020-00724-0001078</v>
      </c>
      <c r="B1079" s="3" t="s">
        <v>1961</v>
      </c>
      <c r="C1079" s="3" t="s">
        <v>3</v>
      </c>
      <c r="D1079" s="3" t="s">
        <v>33</v>
      </c>
      <c r="E1079" s="3" t="s">
        <v>1960</v>
      </c>
      <c r="F1079" s="4">
        <v>43501.695833333331</v>
      </c>
      <c r="G1079" s="3" t="s">
        <v>1959</v>
      </c>
      <c r="H1079" s="3" t="s">
        <v>1866</v>
      </c>
      <c r="I1079" s="3" t="s">
        <v>7043</v>
      </c>
      <c r="J1079" s="3"/>
      <c r="K1079" s="3"/>
      <c r="L1079" s="5"/>
    </row>
    <row r="1080" spans="1:12" ht="28.8" x14ac:dyDescent="0.55000000000000004">
      <c r="A1080" s="9" t="str">
        <f>HYPERLINK("PDF\FOIA-FWS-2020-00724-0001079.pdf","FOIA-FWS-2020-00724-0001079")</f>
        <v>FOIA-FWS-2020-00724-0001079</v>
      </c>
      <c r="B1080" s="3" t="s">
        <v>1962</v>
      </c>
      <c r="C1080" s="3" t="s">
        <v>3</v>
      </c>
      <c r="D1080" s="3" t="s">
        <v>33</v>
      </c>
      <c r="E1080" s="3" t="s">
        <v>1964</v>
      </c>
      <c r="F1080" s="4">
        <v>43501.7</v>
      </c>
      <c r="G1080" s="3" t="s">
        <v>963</v>
      </c>
      <c r="H1080" s="3" t="s">
        <v>1963</v>
      </c>
      <c r="I1080" s="3" t="s">
        <v>7043</v>
      </c>
      <c r="J1080" s="3"/>
      <c r="K1080" s="3"/>
      <c r="L1080" s="5"/>
    </row>
    <row r="1081" spans="1:12" ht="43.2" x14ac:dyDescent="0.55000000000000004">
      <c r="A1081" s="9" t="str">
        <f>HYPERLINK("PDF\FOIA-FWS-2020-00724-0001080.pdf","FOIA-FWS-2020-00724-0001080")</f>
        <v>FOIA-FWS-2020-00724-0001080</v>
      </c>
      <c r="B1081" s="3" t="s">
        <v>1962</v>
      </c>
      <c r="C1081" s="3" t="s">
        <v>234</v>
      </c>
      <c r="D1081" s="3" t="s">
        <v>4</v>
      </c>
      <c r="E1081" s="3" t="s">
        <v>1965</v>
      </c>
      <c r="F1081" s="4">
        <v>43501.7</v>
      </c>
      <c r="G1081" s="3"/>
      <c r="H1081" s="3"/>
      <c r="I1081" s="3" t="s">
        <v>7043</v>
      </c>
      <c r="J1081" s="3"/>
      <c r="K1081" s="3"/>
      <c r="L1081" s="5"/>
    </row>
    <row r="1082" spans="1:12" ht="28.8" x14ac:dyDescent="0.55000000000000004">
      <c r="A1082" s="9" t="str">
        <f>HYPERLINK("PDF\FOIA-FWS-2020-00724-0001081.pdf","FOIA-FWS-2020-00724-0001081")</f>
        <v>FOIA-FWS-2020-00724-0001081</v>
      </c>
      <c r="B1082" s="3" t="s">
        <v>1962</v>
      </c>
      <c r="C1082" s="3" t="s">
        <v>234</v>
      </c>
      <c r="D1082" s="3" t="s">
        <v>4</v>
      </c>
      <c r="E1082" s="3" t="s">
        <v>1966</v>
      </c>
      <c r="F1082" s="4">
        <v>43501.7</v>
      </c>
      <c r="G1082" s="3"/>
      <c r="H1082" s="3"/>
      <c r="I1082" s="3" t="s">
        <v>7043</v>
      </c>
      <c r="J1082" s="3"/>
      <c r="K1082" s="3"/>
      <c r="L1082" s="5"/>
    </row>
    <row r="1083" spans="1:12" ht="28.8" x14ac:dyDescent="0.55000000000000004">
      <c r="A1083" s="9" t="str">
        <f>HYPERLINK("PDF\FOIA-FWS-2020-00724-0001082.pdf","FOIA-FWS-2020-00724-0001082")</f>
        <v>FOIA-FWS-2020-00724-0001082</v>
      </c>
      <c r="B1083" s="3" t="s">
        <v>1962</v>
      </c>
      <c r="C1083" s="3" t="s">
        <v>234</v>
      </c>
      <c r="D1083" s="3" t="s">
        <v>4</v>
      </c>
      <c r="E1083" s="3" t="s">
        <v>1967</v>
      </c>
      <c r="F1083" s="4">
        <v>43501.7</v>
      </c>
      <c r="G1083" s="3"/>
      <c r="H1083" s="3"/>
      <c r="I1083" s="3" t="s">
        <v>7043</v>
      </c>
      <c r="J1083" s="3"/>
      <c r="K1083" s="3"/>
      <c r="L1083" s="5"/>
    </row>
    <row r="1084" spans="1:12" ht="28.8" x14ac:dyDescent="0.55000000000000004">
      <c r="A1084" s="9" t="str">
        <f>HYPERLINK("PDF\FOIA-FWS-2020-00724-0001083.pdf","FOIA-FWS-2020-00724-0001083")</f>
        <v>FOIA-FWS-2020-00724-0001083</v>
      </c>
      <c r="B1084" s="3" t="s">
        <v>1962</v>
      </c>
      <c r="C1084" s="3" t="s">
        <v>234</v>
      </c>
      <c r="D1084" s="3" t="s">
        <v>4</v>
      </c>
      <c r="E1084" s="3" t="s">
        <v>1968</v>
      </c>
      <c r="F1084" s="4">
        <v>43501.7</v>
      </c>
      <c r="G1084" s="3"/>
      <c r="H1084" s="3"/>
      <c r="I1084" s="3" t="s">
        <v>7043</v>
      </c>
      <c r="J1084" s="3"/>
      <c r="K1084" s="3"/>
      <c r="L1084" s="5"/>
    </row>
    <row r="1085" spans="1:12" ht="28.8" x14ac:dyDescent="0.55000000000000004">
      <c r="A1085" s="9" t="str">
        <f>HYPERLINK("PDF\FOIA-FWS-2020-00724-0001084.pdf","FOIA-FWS-2020-00724-0001084")</f>
        <v>FOIA-FWS-2020-00724-0001084</v>
      </c>
      <c r="B1085" s="3" t="s">
        <v>1962</v>
      </c>
      <c r="C1085" s="3" t="s">
        <v>234</v>
      </c>
      <c r="D1085" s="3" t="s">
        <v>4</v>
      </c>
      <c r="E1085" s="3" t="s">
        <v>1969</v>
      </c>
      <c r="F1085" s="4">
        <v>43501.7</v>
      </c>
      <c r="G1085" s="3"/>
      <c r="H1085" s="3"/>
      <c r="I1085" s="3" t="s">
        <v>7043</v>
      </c>
      <c r="J1085" s="3"/>
      <c r="K1085" s="3"/>
      <c r="L1085" s="5"/>
    </row>
    <row r="1086" spans="1:12" ht="28.8" x14ac:dyDescent="0.55000000000000004">
      <c r="A1086" s="9" t="str">
        <f>HYPERLINK("PDF\FOIA-FWS-2020-00724-0001085.pdf","FOIA-FWS-2020-00724-0001085")</f>
        <v>FOIA-FWS-2020-00724-0001085</v>
      </c>
      <c r="B1086" s="3" t="s">
        <v>1962</v>
      </c>
      <c r="C1086" s="3" t="s">
        <v>234</v>
      </c>
      <c r="D1086" s="3" t="s">
        <v>4</v>
      </c>
      <c r="E1086" s="3" t="s">
        <v>1970</v>
      </c>
      <c r="F1086" s="4">
        <v>43501.7</v>
      </c>
      <c r="G1086" s="3"/>
      <c r="H1086" s="3"/>
      <c r="I1086" s="3" t="s">
        <v>7043</v>
      </c>
      <c r="J1086" s="3"/>
      <c r="K1086" s="3"/>
      <c r="L1086" s="5"/>
    </row>
    <row r="1087" spans="1:12" ht="28.8" x14ac:dyDescent="0.55000000000000004">
      <c r="A1087" s="9" t="str">
        <f>HYPERLINK("PDF\FOIA-FWS-2020-00724-0001086.pdf","FOIA-FWS-2020-00724-0001086")</f>
        <v>FOIA-FWS-2020-00724-0001086</v>
      </c>
      <c r="B1087" s="3" t="s">
        <v>1962</v>
      </c>
      <c r="C1087" s="3" t="s">
        <v>234</v>
      </c>
      <c r="D1087" s="3" t="s">
        <v>4</v>
      </c>
      <c r="E1087" s="3" t="s">
        <v>1573</v>
      </c>
      <c r="F1087" s="4">
        <v>43501.7</v>
      </c>
      <c r="G1087" s="3"/>
      <c r="H1087" s="3"/>
      <c r="I1087" s="3" t="s">
        <v>7043</v>
      </c>
      <c r="J1087" s="3"/>
      <c r="K1087" s="3"/>
      <c r="L1087" s="5"/>
    </row>
    <row r="1088" spans="1:12" ht="158.4" x14ac:dyDescent="0.55000000000000004">
      <c r="A1088" s="9" t="str">
        <f>HYPERLINK("PDF\FOIA-FWS-2020-00724-0001087.pdf","FOIA-FWS-2020-00724-0001087")</f>
        <v>FOIA-FWS-2020-00724-0001087</v>
      </c>
      <c r="B1088" s="3" t="s">
        <v>1971</v>
      </c>
      <c r="C1088" s="3" t="s">
        <v>3</v>
      </c>
      <c r="D1088" s="3" t="s">
        <v>33</v>
      </c>
      <c r="E1088" s="3" t="s">
        <v>1974</v>
      </c>
      <c r="F1088" s="4">
        <v>43501.713888888888</v>
      </c>
      <c r="G1088" s="3" t="s">
        <v>1972</v>
      </c>
      <c r="H1088" s="3" t="s">
        <v>1973</v>
      </c>
      <c r="I1088" s="3" t="s">
        <v>7043</v>
      </c>
      <c r="J1088" s="3"/>
      <c r="K1088" s="3"/>
      <c r="L1088" s="5"/>
    </row>
    <row r="1089" spans="1:12" ht="28.8" x14ac:dyDescent="0.55000000000000004">
      <c r="A1089" s="9" t="str">
        <f>HYPERLINK("PDF\FOIA-FWS-2020-00724-0001088.pdf","FOIA-FWS-2020-00724-0001088")</f>
        <v>FOIA-FWS-2020-00724-0001088</v>
      </c>
      <c r="B1089" s="3" t="s">
        <v>1971</v>
      </c>
      <c r="C1089" s="3" t="s">
        <v>234</v>
      </c>
      <c r="D1089" s="3" t="s">
        <v>4</v>
      </c>
      <c r="E1089" s="3" t="s">
        <v>1975</v>
      </c>
      <c r="F1089" s="4">
        <v>43501.713888888888</v>
      </c>
      <c r="G1089" s="3"/>
      <c r="H1089" s="3"/>
      <c r="I1089" s="3" t="s">
        <v>7043</v>
      </c>
      <c r="J1089" s="3"/>
      <c r="K1089" s="3"/>
      <c r="L1089" s="5"/>
    </row>
    <row r="1090" spans="1:12" ht="28.8" x14ac:dyDescent="0.55000000000000004">
      <c r="A1090" s="9" t="str">
        <f>HYPERLINK("PDF\FOIA-FWS-2020-00724-0001089.pdf","FOIA-FWS-2020-00724-0001089")</f>
        <v>FOIA-FWS-2020-00724-0001089</v>
      </c>
      <c r="B1090" s="3" t="s">
        <v>1976</v>
      </c>
      <c r="C1090" s="3" t="s">
        <v>3</v>
      </c>
      <c r="D1090" s="3" t="s">
        <v>38</v>
      </c>
      <c r="E1090" s="3" t="s">
        <v>1977</v>
      </c>
      <c r="F1090" s="4">
        <v>43502</v>
      </c>
      <c r="G1090" s="3"/>
      <c r="H1090" s="3"/>
      <c r="I1090" s="3" t="s">
        <v>7043</v>
      </c>
      <c r="J1090" s="3"/>
      <c r="K1090" s="3"/>
      <c r="L1090" s="5"/>
    </row>
    <row r="1091" spans="1:12" ht="28.8" x14ac:dyDescent="0.55000000000000004">
      <c r="A1091" s="9" t="str">
        <f>HYPERLINK("PDF\FOIA-FWS-2020-00724-0001090.pdf","FOIA-FWS-2020-00724-0001090")</f>
        <v>FOIA-FWS-2020-00724-0001090</v>
      </c>
      <c r="B1091" s="3" t="s">
        <v>1978</v>
      </c>
      <c r="C1091" s="3" t="s">
        <v>3</v>
      </c>
      <c r="D1091" s="3" t="s">
        <v>38</v>
      </c>
      <c r="E1091" s="3" t="s">
        <v>1979</v>
      </c>
      <c r="F1091" s="4">
        <v>43502</v>
      </c>
      <c r="G1091" s="3"/>
      <c r="H1091" s="3"/>
      <c r="I1091" s="3" t="s">
        <v>7043</v>
      </c>
      <c r="J1091" s="3"/>
      <c r="K1091" s="3"/>
      <c r="L1091" s="5"/>
    </row>
    <row r="1092" spans="1:12" ht="28.8" x14ac:dyDescent="0.55000000000000004">
      <c r="A1092" s="9" t="str">
        <f>HYPERLINK("PDF\FOIA-FWS-2020-00724-0001091.pdf","FOIA-FWS-2020-00724-0001091")</f>
        <v>FOIA-FWS-2020-00724-0001091</v>
      </c>
      <c r="B1092" s="3" t="s">
        <v>1980</v>
      </c>
      <c r="C1092" s="3" t="s">
        <v>3</v>
      </c>
      <c r="D1092" s="3" t="s">
        <v>38</v>
      </c>
      <c r="E1092" s="3" t="s">
        <v>1981</v>
      </c>
      <c r="F1092" s="4">
        <v>43502</v>
      </c>
      <c r="G1092" s="3"/>
      <c r="H1092" s="3"/>
      <c r="I1092" s="3" t="s">
        <v>7043</v>
      </c>
      <c r="J1092" s="3"/>
      <c r="K1092" s="3"/>
      <c r="L1092" s="5"/>
    </row>
    <row r="1093" spans="1:12" ht="43.2" x14ac:dyDescent="0.55000000000000004">
      <c r="A1093" s="9" t="str">
        <f>HYPERLINK("PDF\FOIA-FWS-2020-00724-0001092.pdf","FOIA-FWS-2020-00724-0001092")</f>
        <v>FOIA-FWS-2020-00724-0001092</v>
      </c>
      <c r="B1093" s="3" t="s">
        <v>1982</v>
      </c>
      <c r="C1093" s="3" t="s">
        <v>3</v>
      </c>
      <c r="D1093" s="3" t="s">
        <v>33</v>
      </c>
      <c r="E1093" s="3" t="s">
        <v>1983</v>
      </c>
      <c r="F1093" s="4">
        <v>43502</v>
      </c>
      <c r="G1093" s="3"/>
      <c r="H1093" s="3"/>
      <c r="I1093" s="3" t="s">
        <v>7043</v>
      </c>
      <c r="J1093" s="3"/>
      <c r="K1093" s="3"/>
      <c r="L1093" s="5"/>
    </row>
    <row r="1094" spans="1:12" ht="28.8" x14ac:dyDescent="0.55000000000000004">
      <c r="A1094" s="9" t="str">
        <f>HYPERLINK("PDF\FOIA-FWS-2020-00724-0001093.pdf","FOIA-FWS-2020-00724-0001093")</f>
        <v>FOIA-FWS-2020-00724-0001093</v>
      </c>
      <c r="B1094" s="3" t="s">
        <v>1984</v>
      </c>
      <c r="C1094" s="3" t="s">
        <v>3</v>
      </c>
      <c r="D1094" s="3" t="s">
        <v>33</v>
      </c>
      <c r="E1094" s="3" t="s">
        <v>1985</v>
      </c>
      <c r="F1094" s="4">
        <v>43502</v>
      </c>
      <c r="G1094" s="3"/>
      <c r="H1094" s="3"/>
      <c r="I1094" s="3" t="s">
        <v>7043</v>
      </c>
      <c r="J1094" s="3"/>
      <c r="K1094" s="3"/>
      <c r="L1094" s="5"/>
    </row>
    <row r="1095" spans="1:12" ht="28.8" x14ac:dyDescent="0.55000000000000004">
      <c r="A1095" s="9" t="str">
        <f>HYPERLINK("PDF\FOIA-FWS-2020-00724-0001094.pdf","FOIA-FWS-2020-00724-0001094")</f>
        <v>FOIA-FWS-2020-00724-0001094</v>
      </c>
      <c r="B1095" s="3" t="s">
        <v>1986</v>
      </c>
      <c r="C1095" s="3" t="s">
        <v>3</v>
      </c>
      <c r="D1095" s="3" t="s">
        <v>33</v>
      </c>
      <c r="E1095" s="3" t="s">
        <v>1987</v>
      </c>
      <c r="F1095" s="4">
        <v>43502.417361111111</v>
      </c>
      <c r="G1095" s="3" t="s">
        <v>938</v>
      </c>
      <c r="H1095" s="3" t="s">
        <v>1250</v>
      </c>
      <c r="I1095" s="3" t="s">
        <v>7043</v>
      </c>
      <c r="J1095" s="3"/>
      <c r="K1095" s="3"/>
      <c r="L1095" s="5"/>
    </row>
    <row r="1096" spans="1:12" ht="28.8" x14ac:dyDescent="0.55000000000000004">
      <c r="A1096" s="9" t="str">
        <f>HYPERLINK("PDF\FOIA-FWS-2020-00724-0001095.pdf","FOIA-FWS-2020-00724-0001095")</f>
        <v>FOIA-FWS-2020-00724-0001095</v>
      </c>
      <c r="B1096" s="3" t="s">
        <v>1988</v>
      </c>
      <c r="C1096" s="3" t="s">
        <v>3</v>
      </c>
      <c r="D1096" s="3" t="s">
        <v>33</v>
      </c>
      <c r="E1096" s="3" t="s">
        <v>1989</v>
      </c>
      <c r="F1096" s="4">
        <v>43502.594444444447</v>
      </c>
      <c r="G1096" s="3" t="s">
        <v>1250</v>
      </c>
      <c r="H1096" s="3" t="s">
        <v>1955</v>
      </c>
      <c r="I1096" s="3" t="s">
        <v>7043</v>
      </c>
      <c r="J1096" s="3"/>
      <c r="K1096" s="3"/>
      <c r="L1096" s="5"/>
    </row>
    <row r="1097" spans="1:12" ht="28.8" x14ac:dyDescent="0.55000000000000004">
      <c r="A1097" s="9" t="str">
        <f>HYPERLINK("PDF\FOIA-FWS-2020-00724-0001096.pdf","FOIA-FWS-2020-00724-0001096")</f>
        <v>FOIA-FWS-2020-00724-0001096</v>
      </c>
      <c r="B1097" s="3" t="s">
        <v>1990</v>
      </c>
      <c r="C1097" s="3" t="s">
        <v>3</v>
      </c>
      <c r="D1097" s="3" t="s">
        <v>33</v>
      </c>
      <c r="E1097" s="3" t="s">
        <v>1992</v>
      </c>
      <c r="F1097" s="4">
        <v>43502.674305555556</v>
      </c>
      <c r="G1097" s="3" t="s">
        <v>1991</v>
      </c>
      <c r="H1097" s="3" t="s">
        <v>1250</v>
      </c>
      <c r="I1097" s="3" t="s">
        <v>7043</v>
      </c>
      <c r="J1097" s="3"/>
      <c r="K1097" s="3"/>
      <c r="L1097" s="5"/>
    </row>
    <row r="1098" spans="1:12" ht="28.8" x14ac:dyDescent="0.55000000000000004">
      <c r="A1098" s="9" t="str">
        <f>HYPERLINK("PDF\FOIA-FWS-2020-00724-0001097.pdf","FOIA-FWS-2020-00724-0001097")</f>
        <v>FOIA-FWS-2020-00724-0001097</v>
      </c>
      <c r="B1098" s="3" t="s">
        <v>1990</v>
      </c>
      <c r="C1098" s="3" t="s">
        <v>234</v>
      </c>
      <c r="D1098" s="3" t="s">
        <v>4</v>
      </c>
      <c r="E1098" s="3" t="s">
        <v>1993</v>
      </c>
      <c r="F1098" s="4">
        <v>43502.674305555556</v>
      </c>
      <c r="G1098" s="3"/>
      <c r="H1098" s="3"/>
      <c r="I1098" s="3" t="s">
        <v>7043</v>
      </c>
      <c r="J1098" s="3"/>
      <c r="K1098" s="3"/>
      <c r="L1098" s="5"/>
    </row>
    <row r="1099" spans="1:12" ht="57.6" x14ac:dyDescent="0.55000000000000004">
      <c r="A1099" s="9" t="str">
        <f>HYPERLINK("PDF\FOIA-FWS-2020-00724-0001098.pdf","FOIA-FWS-2020-00724-0001098")</f>
        <v>FOIA-FWS-2020-00724-0001098</v>
      </c>
      <c r="B1099" s="3" t="s">
        <v>1994</v>
      </c>
      <c r="C1099" s="3" t="s">
        <v>3</v>
      </c>
      <c r="D1099" s="3" t="s">
        <v>33</v>
      </c>
      <c r="E1099" s="3" t="s">
        <v>1997</v>
      </c>
      <c r="F1099" s="4">
        <v>43502.697222222225</v>
      </c>
      <c r="G1099" s="3" t="s">
        <v>1995</v>
      </c>
      <c r="H1099" s="3" t="s">
        <v>1996</v>
      </c>
      <c r="I1099" s="3" t="s">
        <v>7043</v>
      </c>
      <c r="J1099" s="3"/>
      <c r="K1099" s="3"/>
      <c r="L1099" s="5"/>
    </row>
    <row r="1100" spans="1:12" ht="28.8" x14ac:dyDescent="0.55000000000000004">
      <c r="A1100" s="9" t="str">
        <f>HYPERLINK("PDF\FOIA-FWS-2020-00724-0001099.pdf","FOIA-FWS-2020-00724-0001099")</f>
        <v>FOIA-FWS-2020-00724-0001099</v>
      </c>
      <c r="B1100" s="3" t="s">
        <v>1994</v>
      </c>
      <c r="C1100" s="3" t="s">
        <v>234</v>
      </c>
      <c r="D1100" s="3" t="s">
        <v>33</v>
      </c>
      <c r="E1100" s="3" t="s">
        <v>1998</v>
      </c>
      <c r="F1100" s="4">
        <v>43502.697222222225</v>
      </c>
      <c r="G1100" s="3"/>
      <c r="H1100" s="3"/>
      <c r="I1100" s="3" t="s">
        <v>7043</v>
      </c>
      <c r="J1100" s="3"/>
      <c r="K1100" s="3"/>
      <c r="L1100" s="5" t="str">
        <f>HYPERLINK("NATIVE_FILES\FOIA-FWS-2020-00724-0001099.xlsx","FOIA-FWS-2020-00724-0001099.xlsx")</f>
        <v>FOIA-FWS-2020-00724-0001099.xlsx</v>
      </c>
    </row>
    <row r="1101" spans="1:12" ht="28.8" x14ac:dyDescent="0.55000000000000004">
      <c r="A1101" s="9" t="str">
        <f>HYPERLINK("PDF\FOIA-FWS-2020-00724-0001100.pdf","FOIA-FWS-2020-00724-0001100")</f>
        <v>FOIA-FWS-2020-00724-0001100</v>
      </c>
      <c r="B1101" s="3" t="s">
        <v>1994</v>
      </c>
      <c r="C1101" s="3" t="s">
        <v>234</v>
      </c>
      <c r="D1101" s="3" t="s">
        <v>33</v>
      </c>
      <c r="E1101" s="3" t="s">
        <v>1999</v>
      </c>
      <c r="F1101" s="4">
        <v>43502.697222222225</v>
      </c>
      <c r="G1101" s="3"/>
      <c r="H1101" s="3"/>
      <c r="I1101" s="3" t="s">
        <v>7043</v>
      </c>
      <c r="J1101" s="3"/>
      <c r="K1101" s="3"/>
      <c r="L1101" s="5"/>
    </row>
    <row r="1102" spans="1:12" ht="28.8" x14ac:dyDescent="0.55000000000000004">
      <c r="A1102" s="9" t="str">
        <f>HYPERLINK("PDF\FOIA-FWS-2020-00724-0001101.pdf","FOIA-FWS-2020-00724-0001101")</f>
        <v>FOIA-FWS-2020-00724-0001101</v>
      </c>
      <c r="B1102" s="3" t="s">
        <v>2000</v>
      </c>
      <c r="C1102" s="3" t="s">
        <v>3</v>
      </c>
      <c r="D1102" s="3" t="s">
        <v>38</v>
      </c>
      <c r="E1102" s="3" t="s">
        <v>2001</v>
      </c>
      <c r="F1102" s="4">
        <v>43504</v>
      </c>
      <c r="G1102" s="3"/>
      <c r="H1102" s="3"/>
      <c r="I1102" s="3" t="s">
        <v>7043</v>
      </c>
      <c r="J1102" s="3"/>
      <c r="K1102" s="3"/>
      <c r="L1102" s="5"/>
    </row>
    <row r="1103" spans="1:12" ht="28.8" x14ac:dyDescent="0.55000000000000004">
      <c r="A1103" s="9" t="str">
        <f>HYPERLINK("PDF\FOIA-FWS-2020-00724-0001102.pdf","FOIA-FWS-2020-00724-0001102")</f>
        <v>FOIA-FWS-2020-00724-0001102</v>
      </c>
      <c r="B1103" s="3" t="s">
        <v>2002</v>
      </c>
      <c r="C1103" s="3" t="s">
        <v>3</v>
      </c>
      <c r="D1103" s="3" t="s">
        <v>33</v>
      </c>
      <c r="E1103" s="3" t="s">
        <v>2003</v>
      </c>
      <c r="F1103" s="4">
        <v>43504.631249999999</v>
      </c>
      <c r="G1103" s="3" t="s">
        <v>861</v>
      </c>
      <c r="H1103" s="3" t="s">
        <v>955</v>
      </c>
      <c r="I1103" s="3" t="s">
        <v>7043</v>
      </c>
      <c r="J1103" s="3"/>
      <c r="K1103" s="3"/>
      <c r="L1103" s="5"/>
    </row>
    <row r="1104" spans="1:12" ht="43.2" x14ac:dyDescent="0.55000000000000004">
      <c r="A1104" s="9" t="str">
        <f>HYPERLINK("PDF\FOIA-FWS-2020-00724-0001103.pdf","FOIA-FWS-2020-00724-0001103")</f>
        <v>FOIA-FWS-2020-00724-0001103</v>
      </c>
      <c r="B1104" s="3" t="s">
        <v>2004</v>
      </c>
      <c r="C1104" s="3" t="s">
        <v>3</v>
      </c>
      <c r="D1104" s="3" t="s">
        <v>33</v>
      </c>
      <c r="E1104" s="3" t="s">
        <v>2006</v>
      </c>
      <c r="F1104" s="4">
        <v>43504.676388888889</v>
      </c>
      <c r="G1104" s="3" t="s">
        <v>963</v>
      </c>
      <c r="H1104" s="3" t="s">
        <v>2005</v>
      </c>
      <c r="I1104" s="3" t="s">
        <v>864</v>
      </c>
      <c r="J1104" s="3" t="s">
        <v>7046</v>
      </c>
      <c r="K1104" s="3" t="s">
        <v>7036</v>
      </c>
      <c r="L1104" s="5"/>
    </row>
    <row r="1105" spans="1:12" ht="43.2" x14ac:dyDescent="0.55000000000000004">
      <c r="A1105" s="9" t="str">
        <f>HYPERLINK("PDF\FOIA-FWS-2020-00724-0001104.pdf","FOIA-FWS-2020-00724-0001104")</f>
        <v>FOIA-FWS-2020-00724-0001104</v>
      </c>
      <c r="B1105" s="3" t="s">
        <v>2004</v>
      </c>
      <c r="C1105" s="3" t="s">
        <v>234</v>
      </c>
      <c r="D1105" s="3" t="s">
        <v>33</v>
      </c>
      <c r="E1105" s="3" t="s">
        <v>2009</v>
      </c>
      <c r="F1105" s="4">
        <v>43504.676388888889</v>
      </c>
      <c r="G1105" s="3" t="s">
        <v>2007</v>
      </c>
      <c r="H1105" s="3" t="s">
        <v>2008</v>
      </c>
      <c r="I1105" s="3" t="s">
        <v>7043</v>
      </c>
      <c r="J1105" s="3"/>
      <c r="K1105" s="3"/>
      <c r="L1105" s="5"/>
    </row>
    <row r="1106" spans="1:12" ht="57.6" x14ac:dyDescent="0.55000000000000004">
      <c r="A1106" s="9" t="str">
        <f>HYPERLINK("PDF\FOIA-FWS-2020-00724-0001105.pdf","FOIA-FWS-2020-00724-0001105")</f>
        <v>FOIA-FWS-2020-00724-0001105</v>
      </c>
      <c r="B1106" s="3" t="s">
        <v>2010</v>
      </c>
      <c r="C1106" s="3" t="s">
        <v>3</v>
      </c>
      <c r="D1106" s="3" t="s">
        <v>33</v>
      </c>
      <c r="E1106" s="3" t="s">
        <v>2012</v>
      </c>
      <c r="F1106" s="4">
        <v>43504.729166666664</v>
      </c>
      <c r="G1106" s="3" t="s">
        <v>963</v>
      </c>
      <c r="H1106" s="3" t="s">
        <v>2011</v>
      </c>
      <c r="I1106" s="3" t="s">
        <v>7043</v>
      </c>
      <c r="J1106" s="3"/>
      <c r="K1106" s="3"/>
      <c r="L1106" s="5"/>
    </row>
    <row r="1107" spans="1:12" ht="28.8" x14ac:dyDescent="0.55000000000000004">
      <c r="A1107" s="9" t="str">
        <f>HYPERLINK("PDF\FOIA-FWS-2020-00724-0001106.pdf","FOIA-FWS-2020-00724-0001106")</f>
        <v>FOIA-FWS-2020-00724-0001106</v>
      </c>
      <c r="B1107" s="3" t="s">
        <v>2013</v>
      </c>
      <c r="C1107" s="3" t="s">
        <v>3</v>
      </c>
      <c r="D1107" s="3" t="s">
        <v>160</v>
      </c>
      <c r="E1107" s="3" t="s">
        <v>2014</v>
      </c>
      <c r="F1107" s="4">
        <v>43504.729166666664</v>
      </c>
      <c r="G1107" s="3"/>
      <c r="H1107" s="3"/>
      <c r="I1107" s="3" t="s">
        <v>7043</v>
      </c>
      <c r="J1107" s="3"/>
      <c r="K1107" s="3"/>
      <c r="L1107" s="5" t="str">
        <f>HYPERLINK("NATIVE_FILES\FOIA-FWS-2020-00724-0001106.zip","FOIA-FWS-2020-00724-0001106.zip")</f>
        <v>FOIA-FWS-2020-00724-0001106.zip</v>
      </c>
    </row>
    <row r="1108" spans="1:12" ht="28.8" x14ac:dyDescent="0.55000000000000004">
      <c r="A1108" s="9" t="str">
        <f>HYPERLINK("PDF\FOIA-FWS-2020-00724-0001107.pdf","FOIA-FWS-2020-00724-0001107")</f>
        <v>FOIA-FWS-2020-00724-0001107</v>
      </c>
      <c r="B1108" s="3" t="s">
        <v>2015</v>
      </c>
      <c r="C1108" s="3" t="s">
        <v>3</v>
      </c>
      <c r="D1108" s="3" t="s">
        <v>38</v>
      </c>
      <c r="E1108" s="3" t="s">
        <v>2016</v>
      </c>
      <c r="F1108" s="4">
        <v>43507</v>
      </c>
      <c r="G1108" s="3"/>
      <c r="H1108" s="3"/>
      <c r="I1108" s="3" t="s">
        <v>7043</v>
      </c>
      <c r="J1108" s="3"/>
      <c r="K1108" s="3"/>
      <c r="L1108" s="5"/>
    </row>
    <row r="1109" spans="1:12" ht="28.8" x14ac:dyDescent="0.55000000000000004">
      <c r="A1109" s="9" t="str">
        <f>HYPERLINK("PDF\FOIA-FWS-2020-00724-0001108.pdf","FOIA-FWS-2020-00724-0001108")</f>
        <v>FOIA-FWS-2020-00724-0001108</v>
      </c>
      <c r="B1109" s="3" t="s">
        <v>2017</v>
      </c>
      <c r="C1109" s="3" t="s">
        <v>3</v>
      </c>
      <c r="D1109" s="3" t="s">
        <v>38</v>
      </c>
      <c r="E1109" s="3" t="s">
        <v>2018</v>
      </c>
      <c r="F1109" s="4">
        <v>43507</v>
      </c>
      <c r="G1109" s="3"/>
      <c r="H1109" s="3"/>
      <c r="I1109" s="3" t="s">
        <v>7043</v>
      </c>
      <c r="J1109" s="3"/>
      <c r="K1109" s="3"/>
      <c r="L1109" s="5"/>
    </row>
    <row r="1110" spans="1:12" ht="28.8" x14ac:dyDescent="0.55000000000000004">
      <c r="A1110" s="9" t="str">
        <f>HYPERLINK("PDF\FOIA-FWS-2020-00724-0001109.pdf","FOIA-FWS-2020-00724-0001109")</f>
        <v>FOIA-FWS-2020-00724-0001109</v>
      </c>
      <c r="B1110" s="3" t="s">
        <v>2019</v>
      </c>
      <c r="C1110" s="3" t="s">
        <v>3</v>
      </c>
      <c r="D1110" s="3" t="s">
        <v>33</v>
      </c>
      <c r="E1110" s="3" t="s">
        <v>2020</v>
      </c>
      <c r="F1110" s="4">
        <v>43507</v>
      </c>
      <c r="G1110" s="3"/>
      <c r="H1110" s="3"/>
      <c r="I1110" s="3" t="s">
        <v>7043</v>
      </c>
      <c r="J1110" s="3"/>
      <c r="K1110" s="3"/>
      <c r="L1110" s="5"/>
    </row>
    <row r="1111" spans="1:12" ht="28.8" x14ac:dyDescent="0.55000000000000004">
      <c r="A1111" s="9" t="str">
        <f>HYPERLINK("PDF\FOIA-FWS-2020-00724-0001110.pdf","FOIA-FWS-2020-00724-0001110")</f>
        <v>FOIA-FWS-2020-00724-0001110</v>
      </c>
      <c r="B1111" s="3" t="s">
        <v>2021</v>
      </c>
      <c r="C1111" s="3" t="s">
        <v>3</v>
      </c>
      <c r="D1111" s="3" t="s">
        <v>33</v>
      </c>
      <c r="E1111" s="3" t="s">
        <v>2023</v>
      </c>
      <c r="F1111" s="4">
        <v>43507.582638888889</v>
      </c>
      <c r="G1111" s="3" t="s">
        <v>2022</v>
      </c>
      <c r="H1111" s="3" t="s">
        <v>1392</v>
      </c>
      <c r="I1111" s="3" t="s">
        <v>7043</v>
      </c>
      <c r="J1111" s="3"/>
      <c r="K1111" s="3"/>
      <c r="L1111" s="5"/>
    </row>
    <row r="1112" spans="1:12" ht="28.8" x14ac:dyDescent="0.55000000000000004">
      <c r="A1112" s="9" t="str">
        <f>HYPERLINK("PDF\FOIA-FWS-2020-00724-0001111.pdf","FOIA-FWS-2020-00724-0001111")</f>
        <v>FOIA-FWS-2020-00724-0001111</v>
      </c>
      <c r="B1112" s="3" t="s">
        <v>2021</v>
      </c>
      <c r="C1112" s="3" t="s">
        <v>234</v>
      </c>
      <c r="D1112" s="3" t="s">
        <v>274</v>
      </c>
      <c r="E1112" s="3" t="s">
        <v>2024</v>
      </c>
      <c r="F1112" s="4">
        <v>43507.582638888889</v>
      </c>
      <c r="G1112" s="3"/>
      <c r="H1112" s="3"/>
      <c r="I1112" s="3" t="s">
        <v>7043</v>
      </c>
      <c r="J1112" s="3"/>
      <c r="K1112" s="3"/>
      <c r="L1112" s="5"/>
    </row>
    <row r="1113" spans="1:12" ht="28.8" x14ac:dyDescent="0.55000000000000004">
      <c r="A1113" s="9" t="str">
        <f>HYPERLINK("PDF\FOIA-FWS-2020-00724-0001112.pdf","FOIA-FWS-2020-00724-0001112")</f>
        <v>FOIA-FWS-2020-00724-0001112</v>
      </c>
      <c r="B1113" s="3" t="s">
        <v>2025</v>
      </c>
      <c r="C1113" s="3" t="s">
        <v>3</v>
      </c>
      <c r="D1113" s="3" t="s">
        <v>33</v>
      </c>
      <c r="E1113" s="3" t="s">
        <v>2003</v>
      </c>
      <c r="F1113" s="4">
        <v>43507.649305555555</v>
      </c>
      <c r="G1113" s="3" t="s">
        <v>861</v>
      </c>
      <c r="H1113" s="3" t="s">
        <v>945</v>
      </c>
      <c r="I1113" s="3" t="s">
        <v>7043</v>
      </c>
      <c r="J1113" s="3"/>
      <c r="K1113" s="3"/>
      <c r="L1113" s="5"/>
    </row>
    <row r="1114" spans="1:12" ht="28.8" x14ac:dyDescent="0.55000000000000004">
      <c r="A1114" s="9" t="str">
        <f>HYPERLINK("PDF\FOIA-FWS-2020-00724-0001113.pdf","FOIA-FWS-2020-00724-0001113")</f>
        <v>FOIA-FWS-2020-00724-0001113</v>
      </c>
      <c r="B1114" s="3" t="s">
        <v>2026</v>
      </c>
      <c r="C1114" s="3" t="s">
        <v>3</v>
      </c>
      <c r="D1114" s="3" t="s">
        <v>33</v>
      </c>
      <c r="E1114" s="3" t="s">
        <v>2003</v>
      </c>
      <c r="F1114" s="4">
        <v>43507.67291666667</v>
      </c>
      <c r="G1114" s="3" t="s">
        <v>1392</v>
      </c>
      <c r="H1114" s="3" t="s">
        <v>1631</v>
      </c>
      <c r="I1114" s="3" t="s">
        <v>7043</v>
      </c>
      <c r="J1114" s="3"/>
      <c r="K1114" s="3"/>
      <c r="L1114" s="5"/>
    </row>
    <row r="1115" spans="1:12" ht="28.8" x14ac:dyDescent="0.55000000000000004">
      <c r="A1115" s="9" t="str">
        <f>HYPERLINK("PDF\FOIA-FWS-2020-00724-0001114.pdf","FOIA-FWS-2020-00724-0001114")</f>
        <v>FOIA-FWS-2020-00724-0001114</v>
      </c>
      <c r="B1115" s="3" t="s">
        <v>2027</v>
      </c>
      <c r="C1115" s="3" t="s">
        <v>3</v>
      </c>
      <c r="D1115" s="3" t="s">
        <v>33</v>
      </c>
      <c r="E1115" s="3" t="s">
        <v>2028</v>
      </c>
      <c r="F1115" s="4">
        <v>43507.754861111112</v>
      </c>
      <c r="G1115" s="3" t="s">
        <v>872</v>
      </c>
      <c r="H1115" s="3" t="s">
        <v>1907</v>
      </c>
      <c r="I1115" s="3" t="s">
        <v>7043</v>
      </c>
      <c r="J1115" s="3"/>
      <c r="K1115" s="3"/>
      <c r="L1115" s="5"/>
    </row>
    <row r="1116" spans="1:12" ht="28.8" x14ac:dyDescent="0.55000000000000004">
      <c r="A1116" s="9" t="str">
        <f>HYPERLINK("PDF\FOIA-FWS-2020-00724-0001115.pdf","FOIA-FWS-2020-00724-0001115")</f>
        <v>FOIA-FWS-2020-00724-0001115</v>
      </c>
      <c r="B1116" s="3" t="s">
        <v>2029</v>
      </c>
      <c r="C1116" s="3" t="s">
        <v>3</v>
      </c>
      <c r="D1116" s="3" t="s">
        <v>33</v>
      </c>
      <c r="E1116" s="3" t="s">
        <v>2030</v>
      </c>
      <c r="F1116" s="4">
        <v>43507.838194444441</v>
      </c>
      <c r="G1116" s="3" t="s">
        <v>1874</v>
      </c>
      <c r="H1116" s="3" t="s">
        <v>955</v>
      </c>
      <c r="I1116" s="3" t="s">
        <v>7043</v>
      </c>
      <c r="J1116" s="3"/>
      <c r="K1116" s="3"/>
      <c r="L1116" s="5"/>
    </row>
    <row r="1117" spans="1:12" ht="28.8" x14ac:dyDescent="0.55000000000000004">
      <c r="A1117" s="9" t="str">
        <f>HYPERLINK("PDF\FOIA-FWS-2020-00724-0001116.pdf","FOIA-FWS-2020-00724-0001116")</f>
        <v>FOIA-FWS-2020-00724-0001116</v>
      </c>
      <c r="B1117" s="3" t="s">
        <v>2031</v>
      </c>
      <c r="C1117" s="3" t="s">
        <v>3</v>
      </c>
      <c r="D1117" s="3" t="s">
        <v>33</v>
      </c>
      <c r="E1117" s="3" t="s">
        <v>2032</v>
      </c>
      <c r="F1117" s="4">
        <v>43508</v>
      </c>
      <c r="G1117" s="3"/>
      <c r="H1117" s="3"/>
      <c r="I1117" s="3" t="s">
        <v>7043</v>
      </c>
      <c r="J1117" s="3"/>
      <c r="K1117" s="3"/>
      <c r="L1117" s="5"/>
    </row>
    <row r="1118" spans="1:12" ht="28.8" x14ac:dyDescent="0.55000000000000004">
      <c r="A1118" s="9" t="str">
        <f>HYPERLINK("PDF\FOIA-FWS-2020-00724-0001117.pdf","FOIA-FWS-2020-00724-0001117")</f>
        <v>FOIA-FWS-2020-00724-0001117</v>
      </c>
      <c r="B1118" s="3" t="s">
        <v>2033</v>
      </c>
      <c r="C1118" s="3" t="s">
        <v>3</v>
      </c>
      <c r="D1118" s="3" t="s">
        <v>33</v>
      </c>
      <c r="E1118" s="3" t="s">
        <v>2034</v>
      </c>
      <c r="F1118" s="4">
        <v>43508</v>
      </c>
      <c r="G1118" s="3"/>
      <c r="H1118" s="3"/>
      <c r="I1118" s="3" t="s">
        <v>7043</v>
      </c>
      <c r="J1118" s="3"/>
      <c r="K1118" s="3"/>
      <c r="L1118" s="5"/>
    </row>
    <row r="1119" spans="1:12" ht="28.8" x14ac:dyDescent="0.55000000000000004">
      <c r="A1119" s="9" t="str">
        <f>HYPERLINK("PDF\FOIA-FWS-2020-00724-0001118.pdf","FOIA-FWS-2020-00724-0001118")</f>
        <v>FOIA-FWS-2020-00724-0001118</v>
      </c>
      <c r="B1119" s="3" t="s">
        <v>2035</v>
      </c>
      <c r="C1119" s="3" t="s">
        <v>3</v>
      </c>
      <c r="D1119" s="3" t="s">
        <v>33</v>
      </c>
      <c r="E1119" s="3" t="s">
        <v>2036</v>
      </c>
      <c r="F1119" s="4">
        <v>43508</v>
      </c>
      <c r="G1119" s="3"/>
      <c r="H1119" s="3"/>
      <c r="I1119" s="3" t="s">
        <v>7043</v>
      </c>
      <c r="J1119" s="3"/>
      <c r="K1119" s="3"/>
      <c r="L1119" s="5"/>
    </row>
    <row r="1120" spans="1:12" ht="28.8" x14ac:dyDescent="0.55000000000000004">
      <c r="A1120" s="9" t="str">
        <f>HYPERLINK("PDF\FOIA-FWS-2020-00724-0001119.pdf","FOIA-FWS-2020-00724-0001119")</f>
        <v>FOIA-FWS-2020-00724-0001119</v>
      </c>
      <c r="B1120" s="3" t="s">
        <v>2037</v>
      </c>
      <c r="C1120" s="3" t="s">
        <v>3</v>
      </c>
      <c r="D1120" s="3" t="s">
        <v>33</v>
      </c>
      <c r="E1120" s="3" t="s">
        <v>2038</v>
      </c>
      <c r="F1120" s="4">
        <v>43508</v>
      </c>
      <c r="G1120" s="3" t="s">
        <v>945</v>
      </c>
      <c r="H1120" s="3" t="s">
        <v>963</v>
      </c>
      <c r="I1120" s="3" t="s">
        <v>7043</v>
      </c>
      <c r="J1120" s="3"/>
      <c r="K1120" s="3"/>
      <c r="L1120" s="5"/>
    </row>
    <row r="1121" spans="1:12" ht="28.8" x14ac:dyDescent="0.55000000000000004">
      <c r="A1121" s="9" t="str">
        <f>HYPERLINK("PDF\FOIA-FWS-2020-00724-0001120.pdf","FOIA-FWS-2020-00724-0001120")</f>
        <v>FOIA-FWS-2020-00724-0001120</v>
      </c>
      <c r="B1121" s="3" t="s">
        <v>2039</v>
      </c>
      <c r="C1121" s="3" t="s">
        <v>3</v>
      </c>
      <c r="D1121" s="3" t="s">
        <v>38</v>
      </c>
      <c r="E1121" s="3" t="s">
        <v>2040</v>
      </c>
      <c r="F1121" s="4">
        <v>43508</v>
      </c>
      <c r="G1121" s="3"/>
      <c r="H1121" s="3"/>
      <c r="I1121" s="3" t="s">
        <v>7043</v>
      </c>
      <c r="J1121" s="3"/>
      <c r="K1121" s="3"/>
      <c r="L1121" s="5"/>
    </row>
    <row r="1122" spans="1:12" ht="28.8" x14ac:dyDescent="0.55000000000000004">
      <c r="A1122" s="9" t="str">
        <f>HYPERLINK("PDF\FOIA-FWS-2020-00724-0001121.pdf","FOIA-FWS-2020-00724-0001121")</f>
        <v>FOIA-FWS-2020-00724-0001121</v>
      </c>
      <c r="B1122" s="3" t="s">
        <v>2041</v>
      </c>
      <c r="C1122" s="3" t="s">
        <v>3</v>
      </c>
      <c r="D1122" s="3" t="s">
        <v>38</v>
      </c>
      <c r="E1122" s="3" t="s">
        <v>2042</v>
      </c>
      <c r="F1122" s="4">
        <v>43508</v>
      </c>
      <c r="G1122" s="3"/>
      <c r="H1122" s="3"/>
      <c r="I1122" s="3" t="s">
        <v>7043</v>
      </c>
      <c r="J1122" s="3"/>
      <c r="K1122" s="3"/>
      <c r="L1122" s="5"/>
    </row>
    <row r="1123" spans="1:12" ht="28.8" x14ac:dyDescent="0.55000000000000004">
      <c r="A1123" s="9" t="str">
        <f>HYPERLINK("PDF\FOIA-FWS-2020-00724-0001122.pdf","FOIA-FWS-2020-00724-0001122")</f>
        <v>FOIA-FWS-2020-00724-0001122</v>
      </c>
      <c r="B1123" s="3" t="s">
        <v>2043</v>
      </c>
      <c r="C1123" s="3" t="s">
        <v>3</v>
      </c>
      <c r="D1123" s="3" t="s">
        <v>38</v>
      </c>
      <c r="E1123" s="3" t="s">
        <v>2044</v>
      </c>
      <c r="F1123" s="4">
        <v>43508</v>
      </c>
      <c r="G1123" s="3"/>
      <c r="H1123" s="3"/>
      <c r="I1123" s="3" t="s">
        <v>7043</v>
      </c>
      <c r="J1123" s="3"/>
      <c r="K1123" s="3"/>
      <c r="L1123" s="5"/>
    </row>
    <row r="1124" spans="1:12" ht="28.8" x14ac:dyDescent="0.55000000000000004">
      <c r="A1124" s="9" t="str">
        <f>HYPERLINK("PDF\FOIA-FWS-2020-00724-0001123.pdf","FOIA-FWS-2020-00724-0001123")</f>
        <v>FOIA-FWS-2020-00724-0001123</v>
      </c>
      <c r="B1124" s="3" t="s">
        <v>2045</v>
      </c>
      <c r="C1124" s="3" t="s">
        <v>3</v>
      </c>
      <c r="D1124" s="3" t="s">
        <v>38</v>
      </c>
      <c r="E1124" s="3" t="s">
        <v>2046</v>
      </c>
      <c r="F1124" s="4">
        <v>43508</v>
      </c>
      <c r="G1124" s="3"/>
      <c r="H1124" s="3"/>
      <c r="I1124" s="3" t="s">
        <v>7043</v>
      </c>
      <c r="J1124" s="3"/>
      <c r="K1124" s="3"/>
      <c r="L1124" s="5"/>
    </row>
    <row r="1125" spans="1:12" ht="28.8" x14ac:dyDescent="0.55000000000000004">
      <c r="A1125" s="9" t="str">
        <f>HYPERLINK("PDF\FOIA-FWS-2020-00724-0001124.pdf","FOIA-FWS-2020-00724-0001124")</f>
        <v>FOIA-FWS-2020-00724-0001124</v>
      </c>
      <c r="B1125" s="3" t="s">
        <v>2047</v>
      </c>
      <c r="C1125" s="3" t="s">
        <v>3</v>
      </c>
      <c r="D1125" s="3" t="s">
        <v>38</v>
      </c>
      <c r="E1125" s="3" t="s">
        <v>2048</v>
      </c>
      <c r="F1125" s="4">
        <v>43508</v>
      </c>
      <c r="G1125" s="3"/>
      <c r="H1125" s="3"/>
      <c r="I1125" s="3" t="s">
        <v>7043</v>
      </c>
      <c r="J1125" s="3"/>
      <c r="K1125" s="3"/>
      <c r="L1125" s="5"/>
    </row>
    <row r="1126" spans="1:12" ht="43.2" x14ac:dyDescent="0.55000000000000004">
      <c r="A1126" s="9" t="str">
        <f>HYPERLINK("PDF\FOIA-FWS-2020-00724-0001125.pdf","FOIA-FWS-2020-00724-0001125")</f>
        <v>FOIA-FWS-2020-00724-0001125</v>
      </c>
      <c r="B1126" s="3" t="s">
        <v>2049</v>
      </c>
      <c r="C1126" s="3" t="s">
        <v>3</v>
      </c>
      <c r="D1126" s="3" t="s">
        <v>33</v>
      </c>
      <c r="E1126" s="3" t="s">
        <v>2050</v>
      </c>
      <c r="F1126" s="4">
        <v>43508</v>
      </c>
      <c r="G1126" s="3"/>
      <c r="H1126" s="3"/>
      <c r="I1126" s="3" t="s">
        <v>7044</v>
      </c>
      <c r="J1126" s="3" t="s">
        <v>7046</v>
      </c>
      <c r="K1126" s="3" t="s">
        <v>7036</v>
      </c>
      <c r="L1126" s="5"/>
    </row>
    <row r="1127" spans="1:12" ht="43.2" x14ac:dyDescent="0.55000000000000004">
      <c r="A1127" s="9" t="str">
        <f>HYPERLINK("PDF\FOIA-FWS-2020-00724-0001126.pdf","FOIA-FWS-2020-00724-0001126")</f>
        <v>FOIA-FWS-2020-00724-0001126</v>
      </c>
      <c r="B1127" s="3" t="s">
        <v>2051</v>
      </c>
      <c r="C1127" s="3" t="s">
        <v>3</v>
      </c>
      <c r="D1127" s="3" t="s">
        <v>33</v>
      </c>
      <c r="E1127" s="3" t="s">
        <v>2052</v>
      </c>
      <c r="F1127" s="4">
        <v>43508.447222222225</v>
      </c>
      <c r="G1127" s="3" t="s">
        <v>963</v>
      </c>
      <c r="H1127" s="3" t="s">
        <v>1392</v>
      </c>
      <c r="I1127" s="3" t="s">
        <v>7043</v>
      </c>
      <c r="J1127" s="3"/>
      <c r="K1127" s="3"/>
      <c r="L1127" s="5"/>
    </row>
    <row r="1128" spans="1:12" ht="28.8" x14ac:dyDescent="0.55000000000000004">
      <c r="A1128" s="9" t="str">
        <f>HYPERLINK("PDF\FOIA-FWS-2020-00724-0001127.pdf","FOIA-FWS-2020-00724-0001127")</f>
        <v>FOIA-FWS-2020-00724-0001127</v>
      </c>
      <c r="B1128" s="3" t="s">
        <v>2053</v>
      </c>
      <c r="C1128" s="3" t="s">
        <v>3</v>
      </c>
      <c r="D1128" s="3" t="s">
        <v>33</v>
      </c>
      <c r="E1128" s="3" t="s">
        <v>2055</v>
      </c>
      <c r="F1128" s="4">
        <v>43508.499305555553</v>
      </c>
      <c r="G1128" s="3" t="s">
        <v>1392</v>
      </c>
      <c r="H1128" s="3" t="s">
        <v>2054</v>
      </c>
      <c r="I1128" s="3" t="s">
        <v>7043</v>
      </c>
      <c r="J1128" s="3"/>
      <c r="K1128" s="3"/>
      <c r="L1128" s="5"/>
    </row>
    <row r="1129" spans="1:12" ht="28.8" x14ac:dyDescent="0.55000000000000004">
      <c r="A1129" s="9" t="str">
        <f>HYPERLINK("PDF\FOIA-FWS-2020-00724-0001128.pdf","FOIA-FWS-2020-00724-0001128")</f>
        <v>FOIA-FWS-2020-00724-0001128</v>
      </c>
      <c r="B1129" s="3" t="s">
        <v>2056</v>
      </c>
      <c r="C1129" s="3" t="s">
        <v>3</v>
      </c>
      <c r="D1129" s="3" t="s">
        <v>33</v>
      </c>
      <c r="E1129" s="3" t="s">
        <v>2058</v>
      </c>
      <c r="F1129" s="4">
        <v>43508.504166666666</v>
      </c>
      <c r="G1129" s="3" t="s">
        <v>963</v>
      </c>
      <c r="H1129" s="3" t="s">
        <v>2057</v>
      </c>
      <c r="I1129" s="3" t="s">
        <v>864</v>
      </c>
      <c r="J1129" s="3" t="s">
        <v>7046</v>
      </c>
      <c r="K1129" s="3" t="s">
        <v>7036</v>
      </c>
      <c r="L1129" s="5"/>
    </row>
    <row r="1130" spans="1:12" ht="57.6" x14ac:dyDescent="0.55000000000000004">
      <c r="A1130" s="9" t="str">
        <f>HYPERLINK("PDF\FOIA-FWS-2020-00724-0001129.pdf","FOIA-FWS-2020-00724-0001129")</f>
        <v>FOIA-FWS-2020-00724-0001129</v>
      </c>
      <c r="B1130" s="3" t="s">
        <v>2056</v>
      </c>
      <c r="C1130" s="3" t="s">
        <v>234</v>
      </c>
      <c r="D1130" s="3" t="s">
        <v>33</v>
      </c>
      <c r="E1130" s="3" t="s">
        <v>867</v>
      </c>
      <c r="F1130" s="4">
        <v>43508.504166666666</v>
      </c>
      <c r="G1130" s="3" t="s">
        <v>2007</v>
      </c>
      <c r="H1130" s="3" t="s">
        <v>2059</v>
      </c>
      <c r="I1130" s="3" t="s">
        <v>7043</v>
      </c>
      <c r="J1130" s="3"/>
      <c r="K1130" s="3"/>
      <c r="L1130" s="5"/>
    </row>
    <row r="1131" spans="1:12" ht="28.8" x14ac:dyDescent="0.55000000000000004">
      <c r="A1131" s="9" t="str">
        <f>HYPERLINK("PDF\FOIA-FWS-2020-00724-0001130.pdf","FOIA-FWS-2020-00724-0001130")</f>
        <v>FOIA-FWS-2020-00724-0001130</v>
      </c>
      <c r="B1131" s="3" t="s">
        <v>2060</v>
      </c>
      <c r="C1131" s="3" t="s">
        <v>3</v>
      </c>
      <c r="D1131" s="3" t="s">
        <v>33</v>
      </c>
      <c r="E1131" s="3" t="s">
        <v>2062</v>
      </c>
      <c r="F1131" s="4">
        <v>43508.557638888888</v>
      </c>
      <c r="G1131" s="3" t="s">
        <v>1494</v>
      </c>
      <c r="H1131" s="3" t="s">
        <v>2061</v>
      </c>
      <c r="I1131" s="3" t="s">
        <v>7043</v>
      </c>
      <c r="J1131" s="3"/>
      <c r="K1131" s="3"/>
      <c r="L1131" s="5"/>
    </row>
    <row r="1132" spans="1:12" ht="28.8" x14ac:dyDescent="0.55000000000000004">
      <c r="A1132" s="9" t="str">
        <f>HYPERLINK("PDF\FOIA-FWS-2020-00724-0001131.pdf","FOIA-FWS-2020-00724-0001131")</f>
        <v>FOIA-FWS-2020-00724-0001131</v>
      </c>
      <c r="B1132" s="3" t="s">
        <v>2063</v>
      </c>
      <c r="C1132" s="3" t="s">
        <v>3</v>
      </c>
      <c r="D1132" s="3" t="s">
        <v>33</v>
      </c>
      <c r="E1132" s="3" t="s">
        <v>2065</v>
      </c>
      <c r="F1132" s="4">
        <v>43508.57916666667</v>
      </c>
      <c r="G1132" s="3" t="s">
        <v>919</v>
      </c>
      <c r="H1132" s="3" t="s">
        <v>2064</v>
      </c>
      <c r="I1132" s="3" t="s">
        <v>7043</v>
      </c>
      <c r="J1132" s="3"/>
      <c r="K1132" s="3"/>
      <c r="L1132" s="5"/>
    </row>
    <row r="1133" spans="1:12" ht="28.8" x14ac:dyDescent="0.55000000000000004">
      <c r="A1133" s="9" t="str">
        <f>HYPERLINK("PDF\FOIA-FWS-2020-00724-0001132.pdf","FOIA-FWS-2020-00724-0001132")</f>
        <v>FOIA-FWS-2020-00724-0001132</v>
      </c>
      <c r="B1133" s="3" t="s">
        <v>2063</v>
      </c>
      <c r="C1133" s="3" t="s">
        <v>234</v>
      </c>
      <c r="D1133" s="3" t="s">
        <v>33</v>
      </c>
      <c r="E1133" s="3" t="s">
        <v>2066</v>
      </c>
      <c r="F1133" s="4">
        <v>43508.57916666667</v>
      </c>
      <c r="G1133" s="3"/>
      <c r="H1133" s="3"/>
      <c r="I1133" s="3" t="s">
        <v>7043</v>
      </c>
      <c r="J1133" s="3"/>
      <c r="K1133" s="3"/>
      <c r="L1133" s="5"/>
    </row>
    <row r="1134" spans="1:12" ht="43.2" x14ac:dyDescent="0.55000000000000004">
      <c r="A1134" s="9" t="str">
        <f>HYPERLINK("PDF\FOIA-FWS-2020-00724-0001133.pdf","FOIA-FWS-2020-00724-0001133")</f>
        <v>FOIA-FWS-2020-00724-0001133</v>
      </c>
      <c r="B1134" s="3" t="s">
        <v>2067</v>
      </c>
      <c r="C1134" s="3" t="s">
        <v>3</v>
      </c>
      <c r="D1134" s="3" t="s">
        <v>33</v>
      </c>
      <c r="E1134" s="3" t="s">
        <v>2069</v>
      </c>
      <c r="F1134" s="4">
        <v>43508.761111111111</v>
      </c>
      <c r="G1134" s="3" t="s">
        <v>963</v>
      </c>
      <c r="H1134" s="3" t="s">
        <v>2068</v>
      </c>
      <c r="I1134" s="3" t="s">
        <v>7043</v>
      </c>
      <c r="J1134" s="3"/>
      <c r="K1134" s="3"/>
      <c r="L1134" s="5"/>
    </row>
    <row r="1135" spans="1:12" ht="28.8" x14ac:dyDescent="0.55000000000000004">
      <c r="A1135" s="9" t="str">
        <f>HYPERLINK("PDF\FOIA-FWS-2020-00724-0001134.pdf","FOIA-FWS-2020-00724-0001134")</f>
        <v>FOIA-FWS-2020-00724-0001134</v>
      </c>
      <c r="B1135" s="3" t="s">
        <v>2070</v>
      </c>
      <c r="C1135" s="3" t="s">
        <v>3</v>
      </c>
      <c r="D1135" s="3" t="s">
        <v>33</v>
      </c>
      <c r="E1135" s="3" t="s">
        <v>2073</v>
      </c>
      <c r="F1135" s="4">
        <v>43509</v>
      </c>
      <c r="G1135" s="3" t="s">
        <v>2071</v>
      </c>
      <c r="H1135" s="3" t="s">
        <v>2072</v>
      </c>
      <c r="I1135" s="3" t="s">
        <v>7043</v>
      </c>
      <c r="J1135" s="3"/>
      <c r="K1135" s="3"/>
      <c r="L1135" s="5"/>
    </row>
    <row r="1136" spans="1:12" ht="28.8" x14ac:dyDescent="0.55000000000000004">
      <c r="A1136" s="9" t="str">
        <f>HYPERLINK("PDF\FOIA-FWS-2020-00724-0001135.pdf","FOIA-FWS-2020-00724-0001135")</f>
        <v>FOIA-FWS-2020-00724-0001135</v>
      </c>
      <c r="B1136" s="3" t="s">
        <v>2074</v>
      </c>
      <c r="C1136" s="3" t="s">
        <v>3</v>
      </c>
      <c r="D1136" s="3" t="s">
        <v>33</v>
      </c>
      <c r="E1136" s="3" t="s">
        <v>2075</v>
      </c>
      <c r="F1136" s="4">
        <v>43510</v>
      </c>
      <c r="G1136" s="3"/>
      <c r="H1136" s="3"/>
      <c r="I1136" s="3" t="s">
        <v>7043</v>
      </c>
      <c r="J1136" s="3"/>
      <c r="K1136" s="3"/>
      <c r="L1136" s="5"/>
    </row>
    <row r="1137" spans="1:12" ht="43.2" x14ac:dyDescent="0.55000000000000004">
      <c r="A1137" s="9" t="str">
        <f>HYPERLINK("PDF\FOIA-FWS-2020-00724-0001136.pdf","FOIA-FWS-2020-00724-0001136")</f>
        <v>FOIA-FWS-2020-00724-0001136</v>
      </c>
      <c r="B1137" s="3" t="s">
        <v>2076</v>
      </c>
      <c r="C1137" s="3" t="s">
        <v>3</v>
      </c>
      <c r="D1137" s="3" t="s">
        <v>33</v>
      </c>
      <c r="E1137" s="3" t="s">
        <v>2078</v>
      </c>
      <c r="F1137" s="4">
        <v>43510.451388888891</v>
      </c>
      <c r="G1137" s="3" t="s">
        <v>963</v>
      </c>
      <c r="H1137" s="3" t="s">
        <v>2077</v>
      </c>
      <c r="I1137" s="3" t="s">
        <v>7043</v>
      </c>
      <c r="J1137" s="3"/>
      <c r="K1137" s="3"/>
      <c r="L1137" s="5"/>
    </row>
    <row r="1138" spans="1:12" ht="28.8" x14ac:dyDescent="0.55000000000000004">
      <c r="A1138" s="9" t="str">
        <f>HYPERLINK("PDF\FOIA-FWS-2020-00724-0001137.pdf","FOIA-FWS-2020-00724-0001137")</f>
        <v>FOIA-FWS-2020-00724-0001137</v>
      </c>
      <c r="B1138" s="3" t="s">
        <v>2076</v>
      </c>
      <c r="C1138" s="3" t="s">
        <v>234</v>
      </c>
      <c r="D1138" s="3" t="s">
        <v>33</v>
      </c>
      <c r="E1138" s="3" t="s">
        <v>2079</v>
      </c>
      <c r="F1138" s="4">
        <v>43510.451388888891</v>
      </c>
      <c r="G1138" s="3"/>
      <c r="H1138" s="3"/>
      <c r="I1138" s="3" t="s">
        <v>7043</v>
      </c>
      <c r="J1138" s="3"/>
      <c r="K1138" s="3"/>
      <c r="L1138" s="5"/>
    </row>
    <row r="1139" spans="1:12" ht="100.8" x14ac:dyDescent="0.55000000000000004">
      <c r="A1139" s="9" t="str">
        <f>HYPERLINK("PDF\FOIA-FWS-2020-00724-0001138.pdf","FOIA-FWS-2020-00724-0001138")</f>
        <v>FOIA-FWS-2020-00724-0001138</v>
      </c>
      <c r="B1139" s="3" t="s">
        <v>2080</v>
      </c>
      <c r="C1139" s="3" t="s">
        <v>3</v>
      </c>
      <c r="D1139" s="3" t="s">
        <v>33</v>
      </c>
      <c r="E1139" s="3" t="s">
        <v>2083</v>
      </c>
      <c r="F1139" s="4">
        <v>43510.591666666667</v>
      </c>
      <c r="G1139" s="3" t="s">
        <v>2081</v>
      </c>
      <c r="H1139" s="3" t="s">
        <v>2082</v>
      </c>
      <c r="I1139" s="3" t="s">
        <v>864</v>
      </c>
      <c r="J1139" s="3" t="s">
        <v>7046</v>
      </c>
      <c r="K1139" s="3" t="s">
        <v>7036</v>
      </c>
      <c r="L1139" s="5"/>
    </row>
    <row r="1140" spans="1:12" ht="158.4" x14ac:dyDescent="0.55000000000000004">
      <c r="A1140" s="9" t="str">
        <f>HYPERLINK("PDF\FOIA-FWS-2020-00724-0001139.pdf","FOIA-FWS-2020-00724-0001139")</f>
        <v>FOIA-FWS-2020-00724-0001139</v>
      </c>
      <c r="B1140" s="3" t="s">
        <v>2080</v>
      </c>
      <c r="C1140" s="3" t="s">
        <v>234</v>
      </c>
      <c r="D1140" s="3" t="s">
        <v>33</v>
      </c>
      <c r="E1140" s="3" t="s">
        <v>867</v>
      </c>
      <c r="F1140" s="4">
        <v>43510.591666666667</v>
      </c>
      <c r="G1140" s="3" t="s">
        <v>1679</v>
      </c>
      <c r="H1140" s="3" t="s">
        <v>2084</v>
      </c>
      <c r="I1140" s="3" t="s">
        <v>7043</v>
      </c>
      <c r="J1140" s="3"/>
      <c r="K1140" s="3"/>
      <c r="L1140" s="5"/>
    </row>
    <row r="1141" spans="1:12" ht="28.8" x14ac:dyDescent="0.55000000000000004">
      <c r="A1141" s="9" t="str">
        <f>HYPERLINK("PDF\FOIA-FWS-2020-00724-0001140.pdf","FOIA-FWS-2020-00724-0001140")</f>
        <v>FOIA-FWS-2020-00724-0001140</v>
      </c>
      <c r="B1141" s="3" t="s">
        <v>2085</v>
      </c>
      <c r="C1141" s="3" t="s">
        <v>3</v>
      </c>
      <c r="D1141" s="3" t="s">
        <v>33</v>
      </c>
      <c r="E1141" s="3" t="s">
        <v>2087</v>
      </c>
      <c r="F1141" s="4">
        <v>43510.652083333334</v>
      </c>
      <c r="G1141" s="3" t="s">
        <v>2086</v>
      </c>
      <c r="H1141" s="3" t="s">
        <v>1250</v>
      </c>
      <c r="I1141" s="3" t="s">
        <v>7043</v>
      </c>
      <c r="J1141" s="3"/>
      <c r="K1141" s="3"/>
      <c r="L1141" s="5"/>
    </row>
    <row r="1142" spans="1:12" ht="28.8" x14ac:dyDescent="0.55000000000000004">
      <c r="A1142" s="9" t="str">
        <f>HYPERLINK("PDF\FOIA-FWS-2020-00724-0001141.pdf","FOIA-FWS-2020-00724-0001141")</f>
        <v>FOIA-FWS-2020-00724-0001141</v>
      </c>
      <c r="B1142" s="3" t="s">
        <v>2088</v>
      </c>
      <c r="C1142" s="3" t="s">
        <v>3</v>
      </c>
      <c r="D1142" s="3" t="s">
        <v>33</v>
      </c>
      <c r="E1142" s="3" t="s">
        <v>2089</v>
      </c>
      <c r="F1142" s="4">
        <v>43510.668055555558</v>
      </c>
      <c r="G1142" s="3" t="s">
        <v>963</v>
      </c>
      <c r="H1142" s="3" t="s">
        <v>852</v>
      </c>
      <c r="I1142" s="3" t="s">
        <v>7043</v>
      </c>
      <c r="J1142" s="3"/>
      <c r="K1142" s="3"/>
      <c r="L1142" s="5"/>
    </row>
    <row r="1143" spans="1:12" ht="43.2" x14ac:dyDescent="0.55000000000000004">
      <c r="A1143" s="9" t="str">
        <f>HYPERLINK("PDF\FOIA-FWS-2020-00724-0001142.pdf","FOIA-FWS-2020-00724-0001142")</f>
        <v>FOIA-FWS-2020-00724-0001142</v>
      </c>
      <c r="B1143" s="3" t="s">
        <v>2090</v>
      </c>
      <c r="C1143" s="3" t="s">
        <v>3</v>
      </c>
      <c r="D1143" s="3" t="s">
        <v>33</v>
      </c>
      <c r="E1143" s="3" t="s">
        <v>2092</v>
      </c>
      <c r="F1143" s="4">
        <v>43510.782638888886</v>
      </c>
      <c r="G1143" s="3" t="s">
        <v>1719</v>
      </c>
      <c r="H1143" s="3" t="s">
        <v>2091</v>
      </c>
      <c r="I1143" s="3" t="s">
        <v>7044</v>
      </c>
      <c r="J1143" s="3" t="s">
        <v>7046</v>
      </c>
      <c r="K1143" s="3" t="s">
        <v>7036</v>
      </c>
      <c r="L1143" s="5"/>
    </row>
    <row r="1144" spans="1:12" ht="28.8" x14ac:dyDescent="0.55000000000000004">
      <c r="A1144" s="9" t="str">
        <f>HYPERLINK("PDF\FOIA-FWS-2020-00724-0001143.pdf","FOIA-FWS-2020-00724-0001143")</f>
        <v>FOIA-FWS-2020-00724-0001143</v>
      </c>
      <c r="B1144" s="3" t="s">
        <v>2093</v>
      </c>
      <c r="C1144" s="3" t="s">
        <v>3</v>
      </c>
      <c r="D1144" s="3" t="s">
        <v>33</v>
      </c>
      <c r="E1144" s="3" t="s">
        <v>2094</v>
      </c>
      <c r="F1144" s="4">
        <v>43510.826388888891</v>
      </c>
      <c r="G1144" s="3" t="s">
        <v>861</v>
      </c>
      <c r="H1144" s="3" t="s">
        <v>955</v>
      </c>
      <c r="I1144" s="3" t="s">
        <v>7043</v>
      </c>
      <c r="J1144" s="3"/>
      <c r="K1144" s="3"/>
      <c r="L1144" s="5"/>
    </row>
    <row r="1145" spans="1:12" ht="43.2" x14ac:dyDescent="0.55000000000000004">
      <c r="A1145" s="9" t="str">
        <f>HYPERLINK("PDF\FOIA-FWS-2020-00724-0001144.pdf","FOIA-FWS-2020-00724-0001144")</f>
        <v>FOIA-FWS-2020-00724-0001144</v>
      </c>
      <c r="B1145" s="3" t="s">
        <v>2095</v>
      </c>
      <c r="C1145" s="3" t="s">
        <v>3</v>
      </c>
      <c r="D1145" s="3" t="s">
        <v>33</v>
      </c>
      <c r="E1145" s="3" t="s">
        <v>2096</v>
      </c>
      <c r="F1145" s="4">
        <v>43511.534722222219</v>
      </c>
      <c r="G1145" s="3" t="s">
        <v>861</v>
      </c>
      <c r="H1145" s="3" t="s">
        <v>955</v>
      </c>
      <c r="I1145" s="3" t="s">
        <v>7044</v>
      </c>
      <c r="J1145" s="3" t="s">
        <v>7046</v>
      </c>
      <c r="K1145" s="3" t="s">
        <v>7036</v>
      </c>
      <c r="L1145" s="5"/>
    </row>
    <row r="1146" spans="1:12" ht="43.2" x14ac:dyDescent="0.55000000000000004">
      <c r="A1146" s="9" t="str">
        <f>HYPERLINK("PDF\FOIA-FWS-2020-00724-0001145.pdf","FOIA-FWS-2020-00724-0001145")</f>
        <v>FOIA-FWS-2020-00724-0001145</v>
      </c>
      <c r="B1146" s="3" t="s">
        <v>2097</v>
      </c>
      <c r="C1146" s="3" t="s">
        <v>3</v>
      </c>
      <c r="D1146" s="3" t="s">
        <v>33</v>
      </c>
      <c r="E1146" s="3" t="s">
        <v>2099</v>
      </c>
      <c r="F1146" s="4">
        <v>43511.573611111111</v>
      </c>
      <c r="G1146" s="3" t="s">
        <v>1119</v>
      </c>
      <c r="H1146" s="3" t="s">
        <v>2098</v>
      </c>
      <c r="I1146" s="3" t="s">
        <v>864</v>
      </c>
      <c r="J1146" s="3" t="s">
        <v>7046</v>
      </c>
      <c r="K1146" s="3" t="s">
        <v>7036</v>
      </c>
      <c r="L1146" s="5"/>
    </row>
    <row r="1147" spans="1:12" ht="43.2" x14ac:dyDescent="0.55000000000000004">
      <c r="A1147" s="9" t="str">
        <f>HYPERLINK("PDF\FOIA-FWS-2020-00724-0001146.pdf","FOIA-FWS-2020-00724-0001146")</f>
        <v>FOIA-FWS-2020-00724-0001146</v>
      </c>
      <c r="B1147" s="3" t="s">
        <v>2097</v>
      </c>
      <c r="C1147" s="3" t="s">
        <v>234</v>
      </c>
      <c r="D1147" s="3" t="s">
        <v>33</v>
      </c>
      <c r="E1147" s="3" t="s">
        <v>867</v>
      </c>
      <c r="F1147" s="4">
        <v>43511.573611111111</v>
      </c>
      <c r="G1147" s="3" t="s">
        <v>1122</v>
      </c>
      <c r="H1147" s="3" t="s">
        <v>2100</v>
      </c>
      <c r="I1147" s="3" t="s">
        <v>864</v>
      </c>
      <c r="J1147" s="3" t="s">
        <v>7046</v>
      </c>
      <c r="K1147" s="3" t="s">
        <v>7036</v>
      </c>
      <c r="L1147" s="5"/>
    </row>
    <row r="1148" spans="1:12" ht="86.4" x14ac:dyDescent="0.55000000000000004">
      <c r="A1148" s="9" t="str">
        <f>HYPERLINK("PDF\FOIA-FWS-2020-00724-0001147.pdf","FOIA-FWS-2020-00724-0001147")</f>
        <v>FOIA-FWS-2020-00724-0001147</v>
      </c>
      <c r="B1148" s="3" t="s">
        <v>2101</v>
      </c>
      <c r="C1148" s="3" t="s">
        <v>3</v>
      </c>
      <c r="D1148" s="3" t="s">
        <v>33</v>
      </c>
      <c r="E1148" s="3" t="s">
        <v>2103</v>
      </c>
      <c r="F1148" s="4">
        <v>43511.661805555559</v>
      </c>
      <c r="G1148" s="3" t="s">
        <v>955</v>
      </c>
      <c r="H1148" s="3" t="s">
        <v>2102</v>
      </c>
      <c r="I1148" s="3" t="s">
        <v>7043</v>
      </c>
      <c r="J1148" s="3"/>
      <c r="K1148" s="3"/>
      <c r="L1148" s="5"/>
    </row>
    <row r="1149" spans="1:12" ht="28.8" x14ac:dyDescent="0.55000000000000004">
      <c r="A1149" s="9" t="str">
        <f>HYPERLINK("PDF\FOIA-FWS-2020-00724-0001148.pdf","FOIA-FWS-2020-00724-0001148")</f>
        <v>FOIA-FWS-2020-00724-0001148</v>
      </c>
      <c r="B1149" s="3" t="s">
        <v>2104</v>
      </c>
      <c r="C1149" s="3" t="s">
        <v>3</v>
      </c>
      <c r="D1149" s="3" t="s">
        <v>33</v>
      </c>
      <c r="E1149" s="3" t="s">
        <v>2106</v>
      </c>
      <c r="F1149" s="4">
        <v>43511.692361111112</v>
      </c>
      <c r="G1149" s="3" t="s">
        <v>1392</v>
      </c>
      <c r="H1149" s="3" t="s">
        <v>2105</v>
      </c>
      <c r="I1149" s="3" t="s">
        <v>7043</v>
      </c>
      <c r="J1149" s="3"/>
      <c r="K1149" s="3"/>
      <c r="L1149" s="5"/>
    </row>
    <row r="1150" spans="1:12" ht="28.8" x14ac:dyDescent="0.55000000000000004">
      <c r="A1150" s="9" t="str">
        <f>HYPERLINK("PDF\FOIA-FWS-2020-00724-0001149.pdf","FOIA-FWS-2020-00724-0001149")</f>
        <v>FOIA-FWS-2020-00724-0001149</v>
      </c>
      <c r="B1150" s="3" t="s">
        <v>2107</v>
      </c>
      <c r="C1150" s="3" t="s">
        <v>3</v>
      </c>
      <c r="D1150" s="3" t="s">
        <v>33</v>
      </c>
      <c r="E1150" s="3" t="s">
        <v>2108</v>
      </c>
      <c r="F1150" s="4">
        <v>43511.709027777775</v>
      </c>
      <c r="G1150" s="3" t="s">
        <v>1119</v>
      </c>
      <c r="H1150" s="3" t="s">
        <v>861</v>
      </c>
      <c r="I1150" s="3" t="s">
        <v>7043</v>
      </c>
      <c r="J1150" s="3"/>
      <c r="K1150" s="3"/>
      <c r="L1150" s="5"/>
    </row>
    <row r="1151" spans="1:12" ht="28.8" x14ac:dyDescent="0.55000000000000004">
      <c r="A1151" s="9" t="str">
        <f>HYPERLINK("PDF\FOIA-FWS-2020-00724-0001150.pdf","FOIA-FWS-2020-00724-0001150")</f>
        <v>FOIA-FWS-2020-00724-0001150</v>
      </c>
      <c r="B1151" s="3" t="s">
        <v>2107</v>
      </c>
      <c r="C1151" s="3" t="s">
        <v>234</v>
      </c>
      <c r="D1151" s="3" t="s">
        <v>33</v>
      </c>
      <c r="E1151" s="3" t="s">
        <v>2109</v>
      </c>
      <c r="F1151" s="4">
        <v>43511.709027777775</v>
      </c>
      <c r="G1151" s="3"/>
      <c r="H1151" s="3"/>
      <c r="I1151" s="3" t="s">
        <v>7043</v>
      </c>
      <c r="J1151" s="3"/>
      <c r="K1151" s="3"/>
      <c r="L1151" s="5"/>
    </row>
    <row r="1152" spans="1:12" ht="28.8" x14ac:dyDescent="0.55000000000000004">
      <c r="A1152" s="9" t="str">
        <f>HYPERLINK("PDF\FOIA-FWS-2020-00724-0001151.pdf","FOIA-FWS-2020-00724-0001151")</f>
        <v>FOIA-FWS-2020-00724-0001151</v>
      </c>
      <c r="B1152" s="3" t="s">
        <v>2110</v>
      </c>
      <c r="C1152" s="3" t="s">
        <v>3</v>
      </c>
      <c r="D1152" s="3" t="s">
        <v>33</v>
      </c>
      <c r="E1152" s="3" t="s">
        <v>2111</v>
      </c>
      <c r="F1152" s="4">
        <v>43511.768055555556</v>
      </c>
      <c r="G1152" s="3" t="s">
        <v>1898</v>
      </c>
      <c r="H1152" s="3" t="s">
        <v>1250</v>
      </c>
      <c r="I1152" s="3" t="s">
        <v>7043</v>
      </c>
      <c r="J1152" s="3"/>
      <c r="K1152" s="3"/>
      <c r="L1152" s="5"/>
    </row>
    <row r="1153" spans="1:12" ht="28.8" x14ac:dyDescent="0.55000000000000004">
      <c r="A1153" s="9" t="str">
        <f>HYPERLINK("PDF\FOIA-FWS-2020-00724-0001152.pdf","FOIA-FWS-2020-00724-0001152")</f>
        <v>FOIA-FWS-2020-00724-0001152</v>
      </c>
      <c r="B1153" s="3" t="s">
        <v>2112</v>
      </c>
      <c r="C1153" s="3" t="s">
        <v>3</v>
      </c>
      <c r="D1153" s="3" t="s">
        <v>33</v>
      </c>
      <c r="E1153" s="3" t="s">
        <v>2113</v>
      </c>
      <c r="F1153" s="4">
        <v>43511.789583333331</v>
      </c>
      <c r="G1153" s="3" t="s">
        <v>1392</v>
      </c>
      <c r="H1153" s="3" t="s">
        <v>963</v>
      </c>
      <c r="I1153" s="3" t="s">
        <v>7043</v>
      </c>
      <c r="J1153" s="3"/>
      <c r="K1153" s="3"/>
      <c r="L1153" s="5"/>
    </row>
    <row r="1154" spans="1:12" ht="28.8" x14ac:dyDescent="0.55000000000000004">
      <c r="A1154" s="9" t="str">
        <f>HYPERLINK("PDF\FOIA-FWS-2020-00724-0001153.pdf","FOIA-FWS-2020-00724-0001153")</f>
        <v>FOIA-FWS-2020-00724-0001153</v>
      </c>
      <c r="B1154" s="3" t="s">
        <v>2112</v>
      </c>
      <c r="C1154" s="3" t="s">
        <v>234</v>
      </c>
      <c r="D1154" s="3" t="s">
        <v>4</v>
      </c>
      <c r="E1154" s="3" t="s">
        <v>2114</v>
      </c>
      <c r="F1154" s="4">
        <v>43511.789583333331</v>
      </c>
      <c r="G1154" s="3"/>
      <c r="H1154" s="3"/>
      <c r="I1154" s="3" t="s">
        <v>7043</v>
      </c>
      <c r="J1154" s="3"/>
      <c r="K1154" s="3"/>
      <c r="L1154" s="5" t="str">
        <f>HYPERLINK("NATIVE_FILES\FOIA-FWS-2020-00724-0001153.xlsx","FOIA-FWS-2020-00724-0001153.xlsx")</f>
        <v>FOIA-FWS-2020-00724-0001153.xlsx</v>
      </c>
    </row>
    <row r="1155" spans="1:12" ht="57.6" x14ac:dyDescent="0.55000000000000004">
      <c r="A1155" s="9" t="str">
        <f>HYPERLINK("PDF\FOIA-FWS-2020-00724-0001154.pdf","FOIA-FWS-2020-00724-0001154")</f>
        <v>FOIA-FWS-2020-00724-0001154</v>
      </c>
      <c r="B1155" s="3" t="s">
        <v>2115</v>
      </c>
      <c r="C1155" s="3" t="s">
        <v>3</v>
      </c>
      <c r="D1155" s="3" t="s">
        <v>33</v>
      </c>
      <c r="E1155" s="3" t="s">
        <v>2116</v>
      </c>
      <c r="F1155" s="4">
        <v>43511.831944444442</v>
      </c>
      <c r="G1155" s="3" t="s">
        <v>861</v>
      </c>
      <c r="H1155" s="3" t="s">
        <v>862</v>
      </c>
      <c r="I1155" s="3" t="s">
        <v>7044</v>
      </c>
      <c r="J1155" s="3" t="s">
        <v>7046</v>
      </c>
      <c r="K1155" s="3" t="s">
        <v>7036</v>
      </c>
      <c r="L1155" s="5"/>
    </row>
    <row r="1156" spans="1:12" ht="28.8" x14ac:dyDescent="0.55000000000000004">
      <c r="A1156" s="9" t="str">
        <f>HYPERLINK("PDF\FOIA-FWS-2020-00724-0001155.pdf","FOIA-FWS-2020-00724-0001155")</f>
        <v>FOIA-FWS-2020-00724-0001155</v>
      </c>
      <c r="B1156" s="3" t="s">
        <v>2117</v>
      </c>
      <c r="C1156" s="3" t="s">
        <v>3</v>
      </c>
      <c r="D1156" s="3" t="s">
        <v>38</v>
      </c>
      <c r="E1156" s="3" t="s">
        <v>2118</v>
      </c>
      <c r="F1156" s="4">
        <v>43514</v>
      </c>
      <c r="G1156" s="3"/>
      <c r="H1156" s="3"/>
      <c r="I1156" s="3" t="s">
        <v>7043</v>
      </c>
      <c r="J1156" s="3"/>
      <c r="K1156" s="3"/>
      <c r="L1156" s="5"/>
    </row>
    <row r="1157" spans="1:12" ht="28.8" x14ac:dyDescent="0.55000000000000004">
      <c r="A1157" s="9" t="str">
        <f>HYPERLINK("PDF\FOIA-FWS-2020-00724-0001156.pdf","FOIA-FWS-2020-00724-0001156")</f>
        <v>FOIA-FWS-2020-00724-0001156</v>
      </c>
      <c r="B1157" s="3" t="s">
        <v>2119</v>
      </c>
      <c r="C1157" s="3" t="s">
        <v>3</v>
      </c>
      <c r="D1157" s="3" t="s">
        <v>38</v>
      </c>
      <c r="E1157" s="3" t="s">
        <v>2121</v>
      </c>
      <c r="F1157" s="4">
        <v>43514</v>
      </c>
      <c r="G1157" s="3" t="s">
        <v>2120</v>
      </c>
      <c r="H1157" s="3" t="s">
        <v>877</v>
      </c>
      <c r="I1157" s="3" t="s">
        <v>7043</v>
      </c>
      <c r="J1157" s="3"/>
      <c r="K1157" s="3"/>
      <c r="L1157" s="5"/>
    </row>
    <row r="1158" spans="1:12" ht="28.8" x14ac:dyDescent="0.55000000000000004">
      <c r="A1158" s="9" t="str">
        <f>HYPERLINK("PDF\FOIA-FWS-2020-00724-0001157.pdf","FOIA-FWS-2020-00724-0001157")</f>
        <v>FOIA-FWS-2020-00724-0001157</v>
      </c>
      <c r="B1158" s="3" t="s">
        <v>2122</v>
      </c>
      <c r="C1158" s="3" t="s">
        <v>3</v>
      </c>
      <c r="D1158" s="3" t="s">
        <v>38</v>
      </c>
      <c r="E1158" s="3" t="s">
        <v>2123</v>
      </c>
      <c r="F1158" s="4">
        <v>43514</v>
      </c>
      <c r="G1158" s="3"/>
      <c r="H1158" s="3"/>
      <c r="I1158" s="3" t="s">
        <v>7043</v>
      </c>
      <c r="J1158" s="3"/>
      <c r="K1158" s="3"/>
      <c r="L1158" s="5"/>
    </row>
    <row r="1159" spans="1:12" ht="28.8" x14ac:dyDescent="0.55000000000000004">
      <c r="A1159" s="9" t="str">
        <f>HYPERLINK("PDF\FOIA-FWS-2020-00724-0001158.pdf","FOIA-FWS-2020-00724-0001158")</f>
        <v>FOIA-FWS-2020-00724-0001158</v>
      </c>
      <c r="B1159" s="3" t="s">
        <v>2124</v>
      </c>
      <c r="C1159" s="3" t="s">
        <v>3</v>
      </c>
      <c r="D1159" s="3" t="s">
        <v>33</v>
      </c>
      <c r="E1159" s="3" t="s">
        <v>2125</v>
      </c>
      <c r="F1159" s="4">
        <v>43514.631249999999</v>
      </c>
      <c r="G1159" s="3" t="s">
        <v>1551</v>
      </c>
      <c r="H1159" s="3" t="s">
        <v>1392</v>
      </c>
      <c r="I1159" s="3" t="s">
        <v>7043</v>
      </c>
      <c r="J1159" s="3"/>
      <c r="K1159" s="3"/>
      <c r="L1159" s="5"/>
    </row>
    <row r="1160" spans="1:12" ht="28.8" x14ac:dyDescent="0.55000000000000004">
      <c r="A1160" s="9" t="str">
        <f>HYPERLINK("PDF\FOIA-FWS-2020-00724-0001159.pdf","FOIA-FWS-2020-00724-0001159")</f>
        <v>FOIA-FWS-2020-00724-0001159</v>
      </c>
      <c r="B1160" s="3" t="s">
        <v>2126</v>
      </c>
      <c r="C1160" s="3" t="s">
        <v>3</v>
      </c>
      <c r="D1160" s="3" t="s">
        <v>33</v>
      </c>
      <c r="E1160" s="3" t="s">
        <v>2127</v>
      </c>
      <c r="F1160" s="4">
        <v>43514.74722222222</v>
      </c>
      <c r="G1160" s="3" t="s">
        <v>1520</v>
      </c>
      <c r="H1160" s="3" t="s">
        <v>1392</v>
      </c>
      <c r="I1160" s="3" t="s">
        <v>7043</v>
      </c>
      <c r="J1160" s="3"/>
      <c r="K1160" s="3"/>
      <c r="L1160" s="5"/>
    </row>
    <row r="1161" spans="1:12" ht="28.8" x14ac:dyDescent="0.55000000000000004">
      <c r="A1161" s="9" t="str">
        <f>HYPERLINK("PDF\FOIA-FWS-2020-00724-0001160.pdf","FOIA-FWS-2020-00724-0001160")</f>
        <v>FOIA-FWS-2020-00724-0001160</v>
      </c>
      <c r="B1161" s="3" t="s">
        <v>2126</v>
      </c>
      <c r="C1161" s="3" t="s">
        <v>234</v>
      </c>
      <c r="D1161" s="3" t="s">
        <v>160</v>
      </c>
      <c r="E1161" s="3" t="s">
        <v>2128</v>
      </c>
      <c r="F1161" s="4">
        <v>43514.74722222222</v>
      </c>
      <c r="G1161" s="3"/>
      <c r="H1161" s="3"/>
      <c r="I1161" s="3" t="s">
        <v>7043</v>
      </c>
      <c r="J1161" s="3"/>
      <c r="K1161" s="3"/>
      <c r="L1161" s="5"/>
    </row>
    <row r="1162" spans="1:12" ht="28.8" x14ac:dyDescent="0.55000000000000004">
      <c r="A1162" s="9" t="str">
        <f>HYPERLINK("PDF\FOIA-FWS-2020-00724-0001161.pdf","FOIA-FWS-2020-00724-0001161")</f>
        <v>FOIA-FWS-2020-00724-0001161</v>
      </c>
      <c r="B1162" s="3" t="s">
        <v>2126</v>
      </c>
      <c r="C1162" s="3" t="s">
        <v>234</v>
      </c>
      <c r="D1162" s="3" t="s">
        <v>160</v>
      </c>
      <c r="E1162" s="3" t="s">
        <v>2129</v>
      </c>
      <c r="F1162" s="4">
        <v>43514.74722222222</v>
      </c>
      <c r="G1162" s="3"/>
      <c r="H1162" s="3"/>
      <c r="I1162" s="3" t="s">
        <v>7043</v>
      </c>
      <c r="J1162" s="3"/>
      <c r="K1162" s="3"/>
      <c r="L1162" s="5"/>
    </row>
    <row r="1163" spans="1:12" ht="28.8" x14ac:dyDescent="0.55000000000000004">
      <c r="A1163" s="9" t="str">
        <f>HYPERLINK("PDF\FOIA-FWS-2020-00724-0001162.pdf","FOIA-FWS-2020-00724-0001162")</f>
        <v>FOIA-FWS-2020-00724-0001162</v>
      </c>
      <c r="B1163" s="3" t="s">
        <v>2126</v>
      </c>
      <c r="C1163" s="3" t="s">
        <v>234</v>
      </c>
      <c r="D1163" s="3" t="s">
        <v>4</v>
      </c>
      <c r="E1163" s="3" t="s">
        <v>2130</v>
      </c>
      <c r="F1163" s="4">
        <v>43514.74722222222</v>
      </c>
      <c r="G1163" s="3"/>
      <c r="H1163" s="3"/>
      <c r="I1163" s="3" t="s">
        <v>7043</v>
      </c>
      <c r="J1163" s="3"/>
      <c r="K1163" s="3"/>
      <c r="L1163" s="5"/>
    </row>
    <row r="1164" spans="1:12" ht="28.8" x14ac:dyDescent="0.55000000000000004">
      <c r="A1164" s="9" t="str">
        <f>HYPERLINK("PDF\FOIA-FWS-2020-00724-0001163.pdf","FOIA-FWS-2020-00724-0001163")</f>
        <v>FOIA-FWS-2020-00724-0001163</v>
      </c>
      <c r="B1164" s="3" t="s">
        <v>2126</v>
      </c>
      <c r="C1164" s="3" t="s">
        <v>234</v>
      </c>
      <c r="D1164" s="3" t="s">
        <v>160</v>
      </c>
      <c r="E1164" s="3" t="s">
        <v>2131</v>
      </c>
      <c r="F1164" s="4">
        <v>43514.74722222222</v>
      </c>
      <c r="G1164" s="3"/>
      <c r="H1164" s="3"/>
      <c r="I1164" s="3" t="s">
        <v>7043</v>
      </c>
      <c r="J1164" s="3"/>
      <c r="K1164" s="3"/>
      <c r="L1164" s="5"/>
    </row>
    <row r="1165" spans="1:12" ht="28.8" x14ac:dyDescent="0.55000000000000004">
      <c r="A1165" s="9" t="str">
        <f>HYPERLINK("PDF\FOIA-FWS-2020-00724-0001164.pdf","FOIA-FWS-2020-00724-0001164")</f>
        <v>FOIA-FWS-2020-00724-0001164</v>
      </c>
      <c r="B1165" s="3" t="s">
        <v>2132</v>
      </c>
      <c r="C1165" s="3" t="s">
        <v>3</v>
      </c>
      <c r="D1165" s="3" t="s">
        <v>160</v>
      </c>
      <c r="E1165" s="3" t="s">
        <v>2133</v>
      </c>
      <c r="F1165" s="4">
        <v>43515</v>
      </c>
      <c r="G1165" s="3"/>
      <c r="H1165" s="3"/>
      <c r="I1165" s="3" t="s">
        <v>7043</v>
      </c>
      <c r="J1165" s="3"/>
      <c r="K1165" s="3"/>
      <c r="L1165" s="5"/>
    </row>
    <row r="1166" spans="1:12" ht="28.8" x14ac:dyDescent="0.55000000000000004">
      <c r="A1166" s="9" t="str">
        <f>HYPERLINK("PDF\FOIA-FWS-2020-00724-0001165.pdf","FOIA-FWS-2020-00724-0001165")</f>
        <v>FOIA-FWS-2020-00724-0001165</v>
      </c>
      <c r="B1166" s="3" t="s">
        <v>2134</v>
      </c>
      <c r="C1166" s="3" t="s">
        <v>3</v>
      </c>
      <c r="D1166" s="3" t="s">
        <v>160</v>
      </c>
      <c r="E1166" s="3" t="s">
        <v>2135</v>
      </c>
      <c r="F1166" s="4">
        <v>43515</v>
      </c>
      <c r="G1166" s="3"/>
      <c r="H1166" s="3"/>
      <c r="I1166" s="3" t="s">
        <v>7043</v>
      </c>
      <c r="J1166" s="3"/>
      <c r="K1166" s="3"/>
      <c r="L1166" s="5"/>
    </row>
    <row r="1167" spans="1:12" ht="28.8" x14ac:dyDescent="0.55000000000000004">
      <c r="A1167" s="9" t="str">
        <f>HYPERLINK("PDF\FOIA-FWS-2020-00724-0001166.pdf","FOIA-FWS-2020-00724-0001166")</f>
        <v>FOIA-FWS-2020-00724-0001166</v>
      </c>
      <c r="B1167" s="3" t="s">
        <v>2136</v>
      </c>
      <c r="C1167" s="3" t="s">
        <v>3</v>
      </c>
      <c r="D1167" s="3" t="s">
        <v>160</v>
      </c>
      <c r="E1167" s="3" t="s">
        <v>2137</v>
      </c>
      <c r="F1167" s="4">
        <v>43515</v>
      </c>
      <c r="G1167" s="3"/>
      <c r="H1167" s="3"/>
      <c r="I1167" s="3" t="s">
        <v>7043</v>
      </c>
      <c r="J1167" s="3"/>
      <c r="K1167" s="3"/>
      <c r="L1167" s="5"/>
    </row>
    <row r="1168" spans="1:12" ht="28.8" x14ac:dyDescent="0.55000000000000004">
      <c r="A1168" s="9" t="str">
        <f>HYPERLINK("PDF\FOIA-FWS-2020-00724-0001167.pdf","FOIA-FWS-2020-00724-0001167")</f>
        <v>FOIA-FWS-2020-00724-0001167</v>
      </c>
      <c r="B1168" s="3" t="s">
        <v>2138</v>
      </c>
      <c r="C1168" s="3" t="s">
        <v>3</v>
      </c>
      <c r="D1168" s="3" t="s">
        <v>160</v>
      </c>
      <c r="E1168" s="3" t="s">
        <v>2139</v>
      </c>
      <c r="F1168" s="4">
        <v>43515</v>
      </c>
      <c r="G1168" s="3"/>
      <c r="H1168" s="3"/>
      <c r="I1168" s="3" t="s">
        <v>7043</v>
      </c>
      <c r="J1168" s="3"/>
      <c r="K1168" s="3"/>
      <c r="L1168" s="5"/>
    </row>
    <row r="1169" spans="1:12" ht="28.8" x14ac:dyDescent="0.55000000000000004">
      <c r="A1169" s="9" t="str">
        <f>HYPERLINK("PDF\FOIA-FWS-2020-00724-0001168.pdf","FOIA-FWS-2020-00724-0001168")</f>
        <v>FOIA-FWS-2020-00724-0001168</v>
      </c>
      <c r="B1169" s="3" t="s">
        <v>2140</v>
      </c>
      <c r="C1169" s="3" t="s">
        <v>3</v>
      </c>
      <c r="D1169" s="3" t="s">
        <v>160</v>
      </c>
      <c r="E1169" s="3" t="s">
        <v>2141</v>
      </c>
      <c r="F1169" s="4">
        <v>43515</v>
      </c>
      <c r="G1169" s="3"/>
      <c r="H1169" s="3"/>
      <c r="I1169" s="3" t="s">
        <v>7043</v>
      </c>
      <c r="J1169" s="3"/>
      <c r="K1169" s="3"/>
      <c r="L1169" s="5"/>
    </row>
    <row r="1170" spans="1:12" ht="28.8" x14ac:dyDescent="0.55000000000000004">
      <c r="A1170" s="9" t="str">
        <f>HYPERLINK("PDF\FOIA-FWS-2020-00724-0001169.pdf","FOIA-FWS-2020-00724-0001169")</f>
        <v>FOIA-FWS-2020-00724-0001169</v>
      </c>
      <c r="B1170" s="3" t="s">
        <v>2142</v>
      </c>
      <c r="C1170" s="3" t="s">
        <v>3</v>
      </c>
      <c r="D1170" s="3" t="s">
        <v>33</v>
      </c>
      <c r="E1170" s="3" t="s">
        <v>2143</v>
      </c>
      <c r="F1170" s="4">
        <v>43515</v>
      </c>
      <c r="G1170" s="3"/>
      <c r="H1170" s="3"/>
      <c r="I1170" s="3" t="s">
        <v>7043</v>
      </c>
      <c r="J1170" s="3"/>
      <c r="K1170" s="3"/>
      <c r="L1170" s="5"/>
    </row>
    <row r="1171" spans="1:12" ht="28.8" x14ac:dyDescent="0.55000000000000004">
      <c r="A1171" s="9" t="str">
        <f>HYPERLINK("PDF\FOIA-FWS-2020-00724-0001170.pdf","FOIA-FWS-2020-00724-0001170")</f>
        <v>FOIA-FWS-2020-00724-0001170</v>
      </c>
      <c r="B1171" s="3" t="s">
        <v>2144</v>
      </c>
      <c r="C1171" s="3" t="s">
        <v>3</v>
      </c>
      <c r="D1171" s="3" t="s">
        <v>38</v>
      </c>
      <c r="E1171" s="3" t="s">
        <v>2145</v>
      </c>
      <c r="F1171" s="4">
        <v>43515</v>
      </c>
      <c r="G1171" s="3"/>
      <c r="H1171" s="3"/>
      <c r="I1171" s="3" t="s">
        <v>7043</v>
      </c>
      <c r="J1171" s="3"/>
      <c r="K1171" s="3"/>
      <c r="L1171" s="5"/>
    </row>
    <row r="1172" spans="1:12" ht="28.8" x14ac:dyDescent="0.55000000000000004">
      <c r="A1172" s="9" t="str">
        <f>HYPERLINK("PDF\FOIA-FWS-2020-00724-0001171.pdf","FOIA-FWS-2020-00724-0001171")</f>
        <v>FOIA-FWS-2020-00724-0001171</v>
      </c>
      <c r="B1172" s="3" t="s">
        <v>2146</v>
      </c>
      <c r="C1172" s="3" t="s">
        <v>3</v>
      </c>
      <c r="D1172" s="3" t="s">
        <v>38</v>
      </c>
      <c r="E1172" s="3" t="s">
        <v>2147</v>
      </c>
      <c r="F1172" s="4">
        <v>43515</v>
      </c>
      <c r="G1172" s="3"/>
      <c r="H1172" s="3"/>
      <c r="I1172" s="3" t="s">
        <v>7043</v>
      </c>
      <c r="J1172" s="3"/>
      <c r="K1172" s="3"/>
      <c r="L1172" s="5"/>
    </row>
    <row r="1173" spans="1:12" ht="28.8" x14ac:dyDescent="0.55000000000000004">
      <c r="A1173" s="9" t="str">
        <f>HYPERLINK("PDF\FOIA-FWS-2020-00724-0001172.pdf","FOIA-FWS-2020-00724-0001172")</f>
        <v>FOIA-FWS-2020-00724-0001172</v>
      </c>
      <c r="B1173" s="3" t="s">
        <v>2148</v>
      </c>
      <c r="C1173" s="3" t="s">
        <v>3</v>
      </c>
      <c r="D1173" s="3" t="s">
        <v>38</v>
      </c>
      <c r="E1173" s="3" t="s">
        <v>2149</v>
      </c>
      <c r="F1173" s="4">
        <v>43515</v>
      </c>
      <c r="G1173" s="3"/>
      <c r="H1173" s="3"/>
      <c r="I1173" s="3" t="s">
        <v>7043</v>
      </c>
      <c r="J1173" s="3"/>
      <c r="K1173" s="3"/>
      <c r="L1173" s="5"/>
    </row>
    <row r="1174" spans="1:12" ht="28.8" x14ac:dyDescent="0.55000000000000004">
      <c r="A1174" s="9" t="str">
        <f>HYPERLINK("PDF\FOIA-FWS-2020-00724-0001173.pdf","FOIA-FWS-2020-00724-0001173")</f>
        <v>FOIA-FWS-2020-00724-0001173</v>
      </c>
      <c r="B1174" s="3" t="s">
        <v>2150</v>
      </c>
      <c r="C1174" s="3" t="s">
        <v>3</v>
      </c>
      <c r="D1174" s="3" t="s">
        <v>160</v>
      </c>
      <c r="E1174" s="3" t="s">
        <v>2151</v>
      </c>
      <c r="F1174" s="4">
        <v>43515</v>
      </c>
      <c r="G1174" s="3"/>
      <c r="H1174" s="3"/>
      <c r="I1174" s="3" t="s">
        <v>7043</v>
      </c>
      <c r="J1174" s="3"/>
      <c r="K1174" s="3"/>
      <c r="L1174" s="5"/>
    </row>
    <row r="1175" spans="1:12" ht="28.8" x14ac:dyDescent="0.55000000000000004">
      <c r="A1175" s="9" t="str">
        <f>HYPERLINK("PDF\FOIA-FWS-2020-00724-0001174.pdf","FOIA-FWS-2020-00724-0001174")</f>
        <v>FOIA-FWS-2020-00724-0001174</v>
      </c>
      <c r="B1175" s="3" t="s">
        <v>2152</v>
      </c>
      <c r="C1175" s="3" t="s">
        <v>3</v>
      </c>
      <c r="D1175" s="3" t="s">
        <v>38</v>
      </c>
      <c r="E1175" s="3" t="s">
        <v>2153</v>
      </c>
      <c r="F1175" s="4">
        <v>43515</v>
      </c>
      <c r="G1175" s="3"/>
      <c r="H1175" s="3"/>
      <c r="I1175" s="3" t="s">
        <v>7043</v>
      </c>
      <c r="J1175" s="3"/>
      <c r="K1175" s="3"/>
      <c r="L1175" s="5"/>
    </row>
    <row r="1176" spans="1:12" ht="28.8" x14ac:dyDescent="0.55000000000000004">
      <c r="A1176" s="9" t="str">
        <f>HYPERLINK("PDF\FOIA-FWS-2020-00724-0001175.pdf","FOIA-FWS-2020-00724-0001175")</f>
        <v>FOIA-FWS-2020-00724-0001175</v>
      </c>
      <c r="B1176" s="3" t="s">
        <v>2154</v>
      </c>
      <c r="C1176" s="3" t="s">
        <v>3</v>
      </c>
      <c r="D1176" s="3" t="s">
        <v>38</v>
      </c>
      <c r="E1176" s="3" t="s">
        <v>2155</v>
      </c>
      <c r="F1176" s="4">
        <v>43515</v>
      </c>
      <c r="G1176" s="3"/>
      <c r="H1176" s="3"/>
      <c r="I1176" s="3" t="s">
        <v>7043</v>
      </c>
      <c r="J1176" s="3"/>
      <c r="K1176" s="3"/>
      <c r="L1176" s="5"/>
    </row>
    <row r="1177" spans="1:12" ht="43.2" x14ac:dyDescent="0.55000000000000004">
      <c r="A1177" s="9" t="str">
        <f>HYPERLINK("PDF\FOIA-FWS-2020-00724-0001176.pdf","FOIA-FWS-2020-00724-0001176")</f>
        <v>FOIA-FWS-2020-00724-0001176</v>
      </c>
      <c r="B1177" s="3" t="s">
        <v>2156</v>
      </c>
      <c r="C1177" s="3" t="s">
        <v>3</v>
      </c>
      <c r="D1177" s="3" t="s">
        <v>33</v>
      </c>
      <c r="E1177" s="3" t="s">
        <v>2157</v>
      </c>
      <c r="F1177" s="4">
        <v>43515.500694444447</v>
      </c>
      <c r="G1177" s="3" t="s">
        <v>861</v>
      </c>
      <c r="H1177" s="3" t="s">
        <v>955</v>
      </c>
      <c r="I1177" s="3" t="s">
        <v>7043</v>
      </c>
      <c r="J1177" s="3"/>
      <c r="K1177" s="3"/>
      <c r="L1177" s="5"/>
    </row>
    <row r="1178" spans="1:12" ht="28.8" x14ac:dyDescent="0.55000000000000004">
      <c r="A1178" s="9" t="str">
        <f>HYPERLINK("PDF\FOIA-FWS-2020-00724-0001177.pdf","FOIA-FWS-2020-00724-0001177")</f>
        <v>FOIA-FWS-2020-00724-0001177</v>
      </c>
      <c r="B1178" s="3" t="s">
        <v>2156</v>
      </c>
      <c r="C1178" s="3" t="s">
        <v>234</v>
      </c>
      <c r="D1178" s="3" t="s">
        <v>33</v>
      </c>
      <c r="E1178" s="3" t="s">
        <v>787</v>
      </c>
      <c r="F1178" s="4">
        <v>43515.500694444447</v>
      </c>
      <c r="G1178" s="3"/>
      <c r="H1178" s="3"/>
      <c r="I1178" s="3" t="s">
        <v>7043</v>
      </c>
      <c r="J1178" s="3"/>
      <c r="K1178" s="3"/>
      <c r="L1178" s="5"/>
    </row>
    <row r="1179" spans="1:12" ht="28.8" x14ac:dyDescent="0.55000000000000004">
      <c r="A1179" s="9" t="str">
        <f>HYPERLINK("PDF\FOIA-FWS-2020-00724-0001178.pdf","FOIA-FWS-2020-00724-0001178")</f>
        <v>FOIA-FWS-2020-00724-0001178</v>
      </c>
      <c r="B1179" s="3" t="s">
        <v>2158</v>
      </c>
      <c r="C1179" s="3" t="s">
        <v>3</v>
      </c>
      <c r="D1179" s="3" t="s">
        <v>33</v>
      </c>
      <c r="E1179" s="3" t="s">
        <v>2159</v>
      </c>
      <c r="F1179" s="4">
        <v>43515.513888888891</v>
      </c>
      <c r="G1179" s="3" t="s">
        <v>955</v>
      </c>
      <c r="H1179" s="3" t="s">
        <v>963</v>
      </c>
      <c r="I1179" s="3" t="s">
        <v>7043</v>
      </c>
      <c r="J1179" s="3"/>
      <c r="K1179" s="3"/>
      <c r="L1179" s="5"/>
    </row>
    <row r="1180" spans="1:12" ht="28.8" x14ac:dyDescent="0.55000000000000004">
      <c r="A1180" s="9" t="str">
        <f>HYPERLINK("PDF\FOIA-FWS-2020-00724-0001179.pdf","FOIA-FWS-2020-00724-0001179")</f>
        <v>FOIA-FWS-2020-00724-0001179</v>
      </c>
      <c r="B1180" s="3" t="s">
        <v>2160</v>
      </c>
      <c r="C1180" s="3" t="s">
        <v>3</v>
      </c>
      <c r="D1180" s="3" t="s">
        <v>33</v>
      </c>
      <c r="E1180" s="3" t="s">
        <v>2161</v>
      </c>
      <c r="F1180" s="4">
        <v>43515.574305555558</v>
      </c>
      <c r="G1180" s="3" t="s">
        <v>955</v>
      </c>
      <c r="H1180" s="3" t="s">
        <v>1730</v>
      </c>
      <c r="I1180" s="3" t="s">
        <v>7043</v>
      </c>
      <c r="J1180" s="3"/>
      <c r="K1180" s="3"/>
      <c r="L1180" s="5"/>
    </row>
    <row r="1181" spans="1:12" ht="28.8" x14ac:dyDescent="0.55000000000000004">
      <c r="A1181" s="9" t="str">
        <f>HYPERLINK("PDF\FOIA-FWS-2020-00724-0001180.pdf","FOIA-FWS-2020-00724-0001180")</f>
        <v>FOIA-FWS-2020-00724-0001180</v>
      </c>
      <c r="B1181" s="3" t="s">
        <v>2162</v>
      </c>
      <c r="C1181" s="3" t="s">
        <v>3</v>
      </c>
      <c r="D1181" s="3" t="s">
        <v>33</v>
      </c>
      <c r="E1181" s="3" t="s">
        <v>2164</v>
      </c>
      <c r="F1181" s="4">
        <v>43515.574999999997</v>
      </c>
      <c r="G1181" s="3" t="s">
        <v>955</v>
      </c>
      <c r="H1181" s="3" t="s">
        <v>2163</v>
      </c>
      <c r="I1181" s="3" t="s">
        <v>7043</v>
      </c>
      <c r="J1181" s="3"/>
      <c r="K1181" s="3"/>
      <c r="L1181" s="5"/>
    </row>
    <row r="1182" spans="1:12" ht="28.8" x14ac:dyDescent="0.55000000000000004">
      <c r="A1182" s="9" t="str">
        <f>HYPERLINK("PDF\FOIA-FWS-2020-00724-0001181.pdf","FOIA-FWS-2020-00724-0001181")</f>
        <v>FOIA-FWS-2020-00724-0001181</v>
      </c>
      <c r="B1182" s="3" t="s">
        <v>2165</v>
      </c>
      <c r="C1182" s="3" t="s">
        <v>3</v>
      </c>
      <c r="D1182" s="3" t="s">
        <v>33</v>
      </c>
      <c r="E1182" s="3" t="s">
        <v>2167</v>
      </c>
      <c r="F1182" s="4">
        <v>43515.587500000001</v>
      </c>
      <c r="G1182" s="3" t="s">
        <v>955</v>
      </c>
      <c r="H1182" s="3" t="s">
        <v>2166</v>
      </c>
      <c r="I1182" s="3" t="s">
        <v>7043</v>
      </c>
      <c r="J1182" s="3"/>
      <c r="K1182" s="3"/>
      <c r="L1182" s="5"/>
    </row>
    <row r="1183" spans="1:12" ht="28.8" x14ac:dyDescent="0.55000000000000004">
      <c r="A1183" s="9" t="str">
        <f>HYPERLINK("PDF\FOIA-FWS-2020-00724-0001182.pdf","FOIA-FWS-2020-00724-0001182")</f>
        <v>FOIA-FWS-2020-00724-0001182</v>
      </c>
      <c r="B1183" s="3" t="s">
        <v>2168</v>
      </c>
      <c r="C1183" s="3" t="s">
        <v>3</v>
      </c>
      <c r="D1183" s="3" t="s">
        <v>33</v>
      </c>
      <c r="E1183" s="3" t="s">
        <v>2169</v>
      </c>
      <c r="F1183" s="4">
        <v>43515.59375</v>
      </c>
      <c r="G1183" s="3" t="s">
        <v>1392</v>
      </c>
      <c r="H1183" s="3" t="s">
        <v>1520</v>
      </c>
      <c r="I1183" s="3" t="s">
        <v>7043</v>
      </c>
      <c r="J1183" s="3"/>
      <c r="K1183" s="3"/>
      <c r="L1183" s="5"/>
    </row>
    <row r="1184" spans="1:12" ht="28.8" x14ac:dyDescent="0.55000000000000004">
      <c r="A1184" s="9" t="str">
        <f>HYPERLINK("PDF\FOIA-FWS-2020-00724-0001183.pdf","FOIA-FWS-2020-00724-0001183")</f>
        <v>FOIA-FWS-2020-00724-0001183</v>
      </c>
      <c r="B1184" s="3" t="s">
        <v>2170</v>
      </c>
      <c r="C1184" s="3" t="s">
        <v>3</v>
      </c>
      <c r="D1184" s="3" t="s">
        <v>33</v>
      </c>
      <c r="E1184" s="3" t="s">
        <v>2171</v>
      </c>
      <c r="F1184" s="4">
        <v>43515.731249999997</v>
      </c>
      <c r="G1184" s="3" t="s">
        <v>1730</v>
      </c>
      <c r="H1184" s="3" t="s">
        <v>955</v>
      </c>
      <c r="I1184" s="3" t="s">
        <v>7043</v>
      </c>
      <c r="J1184" s="3"/>
      <c r="K1184" s="3"/>
      <c r="L1184" s="5"/>
    </row>
    <row r="1185" spans="1:12" ht="28.8" x14ac:dyDescent="0.55000000000000004">
      <c r="A1185" s="9" t="str">
        <f>HYPERLINK("PDF\FOIA-FWS-2020-00724-0001184.pdf","FOIA-FWS-2020-00724-0001184")</f>
        <v>FOIA-FWS-2020-00724-0001184</v>
      </c>
      <c r="B1185" s="3" t="s">
        <v>2170</v>
      </c>
      <c r="C1185" s="3" t="s">
        <v>234</v>
      </c>
      <c r="D1185" s="3" t="s">
        <v>160</v>
      </c>
      <c r="E1185" s="3" t="s">
        <v>2172</v>
      </c>
      <c r="F1185" s="4">
        <v>43515.731249999997</v>
      </c>
      <c r="G1185" s="3"/>
      <c r="H1185" s="3"/>
      <c r="I1185" s="3" t="s">
        <v>7043</v>
      </c>
      <c r="J1185" s="3"/>
      <c r="K1185" s="3"/>
      <c r="L1185" s="5"/>
    </row>
    <row r="1186" spans="1:12" ht="28.8" x14ac:dyDescent="0.55000000000000004">
      <c r="A1186" s="9" t="str">
        <f>HYPERLINK("PDF\FOIA-FWS-2020-00724-0001185.pdf","FOIA-FWS-2020-00724-0001185")</f>
        <v>FOIA-FWS-2020-00724-0001185</v>
      </c>
      <c r="B1186" s="3" t="s">
        <v>2170</v>
      </c>
      <c r="C1186" s="3" t="s">
        <v>234</v>
      </c>
      <c r="D1186" s="3" t="s">
        <v>160</v>
      </c>
      <c r="E1186" s="3" t="s">
        <v>2173</v>
      </c>
      <c r="F1186" s="4">
        <v>43515.731249999997</v>
      </c>
      <c r="G1186" s="3"/>
      <c r="H1186" s="3"/>
      <c r="I1186" s="3" t="s">
        <v>7043</v>
      </c>
      <c r="J1186" s="3"/>
      <c r="K1186" s="3"/>
      <c r="L1186" s="5"/>
    </row>
    <row r="1187" spans="1:12" ht="28.8" x14ac:dyDescent="0.55000000000000004">
      <c r="A1187" s="9" t="str">
        <f>HYPERLINK("PDF\FOIA-FWS-2020-00724-0001186.pdf","FOIA-FWS-2020-00724-0001186")</f>
        <v>FOIA-FWS-2020-00724-0001186</v>
      </c>
      <c r="B1187" s="3" t="s">
        <v>2170</v>
      </c>
      <c r="C1187" s="3" t="s">
        <v>234</v>
      </c>
      <c r="D1187" s="3" t="s">
        <v>160</v>
      </c>
      <c r="E1187" s="3" t="s">
        <v>2174</v>
      </c>
      <c r="F1187" s="4">
        <v>43515.731249999997</v>
      </c>
      <c r="G1187" s="3"/>
      <c r="H1187" s="3"/>
      <c r="I1187" s="3" t="s">
        <v>7043</v>
      </c>
      <c r="J1187" s="3"/>
      <c r="K1187" s="3"/>
      <c r="L1187" s="5"/>
    </row>
    <row r="1188" spans="1:12" ht="28.8" x14ac:dyDescent="0.55000000000000004">
      <c r="A1188" s="9" t="str">
        <f>HYPERLINK("PDF\FOIA-FWS-2020-00724-0001187.pdf","FOIA-FWS-2020-00724-0001187")</f>
        <v>FOIA-FWS-2020-00724-0001187</v>
      </c>
      <c r="B1188" s="3" t="s">
        <v>2170</v>
      </c>
      <c r="C1188" s="3" t="s">
        <v>234</v>
      </c>
      <c r="D1188" s="3" t="s">
        <v>160</v>
      </c>
      <c r="E1188" s="3" t="s">
        <v>2175</v>
      </c>
      <c r="F1188" s="4">
        <v>43515.731249999997</v>
      </c>
      <c r="G1188" s="3"/>
      <c r="H1188" s="3"/>
      <c r="I1188" s="3" t="s">
        <v>7043</v>
      </c>
      <c r="J1188" s="3"/>
      <c r="K1188" s="3"/>
      <c r="L1188" s="5"/>
    </row>
    <row r="1189" spans="1:12" ht="28.8" x14ac:dyDescent="0.55000000000000004">
      <c r="A1189" s="9" t="str">
        <f>HYPERLINK("PDF\FOIA-FWS-2020-00724-0001188.pdf","FOIA-FWS-2020-00724-0001188")</f>
        <v>FOIA-FWS-2020-00724-0001188</v>
      </c>
      <c r="B1189" s="3" t="s">
        <v>2170</v>
      </c>
      <c r="C1189" s="3" t="s">
        <v>234</v>
      </c>
      <c r="D1189" s="3" t="s">
        <v>160</v>
      </c>
      <c r="E1189" s="3" t="s">
        <v>2176</v>
      </c>
      <c r="F1189" s="4">
        <v>43515.731249999997</v>
      </c>
      <c r="G1189" s="3"/>
      <c r="H1189" s="3"/>
      <c r="I1189" s="3" t="s">
        <v>7043</v>
      </c>
      <c r="J1189" s="3"/>
      <c r="K1189" s="3"/>
      <c r="L1189" s="5"/>
    </row>
    <row r="1190" spans="1:12" ht="28.8" x14ac:dyDescent="0.55000000000000004">
      <c r="A1190" s="9" t="str">
        <f>HYPERLINK("PDF\FOIA-FWS-2020-00724-0001189.pdf","FOIA-FWS-2020-00724-0001189")</f>
        <v>FOIA-FWS-2020-00724-0001189</v>
      </c>
      <c r="B1190" s="3" t="s">
        <v>2177</v>
      </c>
      <c r="C1190" s="3" t="s">
        <v>3</v>
      </c>
      <c r="D1190" s="3" t="s">
        <v>33</v>
      </c>
      <c r="E1190" s="3" t="s">
        <v>2159</v>
      </c>
      <c r="F1190" s="4">
        <v>43515.774305555555</v>
      </c>
      <c r="G1190" s="3" t="s">
        <v>955</v>
      </c>
      <c r="H1190" s="3" t="s">
        <v>963</v>
      </c>
      <c r="I1190" s="3" t="s">
        <v>7043</v>
      </c>
      <c r="J1190" s="3"/>
      <c r="K1190" s="3"/>
      <c r="L1190" s="5"/>
    </row>
    <row r="1191" spans="1:12" ht="28.8" x14ac:dyDescent="0.55000000000000004">
      <c r="A1191" s="9" t="str">
        <f>HYPERLINK("PDF\FOIA-FWS-2020-00724-0001190.pdf","FOIA-FWS-2020-00724-0001190")</f>
        <v>FOIA-FWS-2020-00724-0001190</v>
      </c>
      <c r="B1191" s="3" t="s">
        <v>2177</v>
      </c>
      <c r="C1191" s="3" t="s">
        <v>234</v>
      </c>
      <c r="D1191" s="3" t="s">
        <v>160</v>
      </c>
      <c r="E1191" s="3" t="s">
        <v>2172</v>
      </c>
      <c r="F1191" s="4">
        <v>43515.774305555555</v>
      </c>
      <c r="G1191" s="3"/>
      <c r="H1191" s="3"/>
      <c r="I1191" s="3" t="s">
        <v>7043</v>
      </c>
      <c r="J1191" s="3"/>
      <c r="K1191" s="3"/>
      <c r="L1191" s="5"/>
    </row>
    <row r="1192" spans="1:12" ht="28.8" x14ac:dyDescent="0.55000000000000004">
      <c r="A1192" s="9" t="str">
        <f>HYPERLINK("PDF\FOIA-FWS-2020-00724-0001191.pdf","FOIA-FWS-2020-00724-0001191")</f>
        <v>FOIA-FWS-2020-00724-0001191</v>
      </c>
      <c r="B1192" s="3" t="s">
        <v>2177</v>
      </c>
      <c r="C1192" s="3" t="s">
        <v>234</v>
      </c>
      <c r="D1192" s="3" t="s">
        <v>160</v>
      </c>
      <c r="E1192" s="3" t="s">
        <v>2173</v>
      </c>
      <c r="F1192" s="4">
        <v>43515.774305555555</v>
      </c>
      <c r="G1192" s="3"/>
      <c r="H1192" s="3"/>
      <c r="I1192" s="3" t="s">
        <v>7043</v>
      </c>
      <c r="J1192" s="3"/>
      <c r="K1192" s="3"/>
      <c r="L1192" s="5"/>
    </row>
    <row r="1193" spans="1:12" ht="28.8" x14ac:dyDescent="0.55000000000000004">
      <c r="A1193" s="9" t="str">
        <f>HYPERLINK("PDF\FOIA-FWS-2020-00724-0001192.pdf","FOIA-FWS-2020-00724-0001192")</f>
        <v>FOIA-FWS-2020-00724-0001192</v>
      </c>
      <c r="B1193" s="3" t="s">
        <v>2177</v>
      </c>
      <c r="C1193" s="3" t="s">
        <v>234</v>
      </c>
      <c r="D1193" s="3" t="s">
        <v>160</v>
      </c>
      <c r="E1193" s="3" t="s">
        <v>2174</v>
      </c>
      <c r="F1193" s="4">
        <v>43515.774305555555</v>
      </c>
      <c r="G1193" s="3"/>
      <c r="H1193" s="3"/>
      <c r="I1193" s="3" t="s">
        <v>7043</v>
      </c>
      <c r="J1193" s="3"/>
      <c r="K1193" s="3"/>
      <c r="L1193" s="5"/>
    </row>
    <row r="1194" spans="1:12" ht="28.8" x14ac:dyDescent="0.55000000000000004">
      <c r="A1194" s="9" t="str">
        <f>HYPERLINK("PDF\FOIA-FWS-2020-00724-0001193.pdf","FOIA-FWS-2020-00724-0001193")</f>
        <v>FOIA-FWS-2020-00724-0001193</v>
      </c>
      <c r="B1194" s="3" t="s">
        <v>2177</v>
      </c>
      <c r="C1194" s="3" t="s">
        <v>234</v>
      </c>
      <c r="D1194" s="3" t="s">
        <v>160</v>
      </c>
      <c r="E1194" s="3" t="s">
        <v>2175</v>
      </c>
      <c r="F1194" s="4">
        <v>43515.774305555555</v>
      </c>
      <c r="G1194" s="3"/>
      <c r="H1194" s="3"/>
      <c r="I1194" s="3" t="s">
        <v>7043</v>
      </c>
      <c r="J1194" s="3"/>
      <c r="K1194" s="3"/>
      <c r="L1194" s="5"/>
    </row>
    <row r="1195" spans="1:12" ht="28.8" x14ac:dyDescent="0.55000000000000004">
      <c r="A1195" s="9" t="str">
        <f>HYPERLINK("PDF\FOIA-FWS-2020-00724-0001194.pdf","FOIA-FWS-2020-00724-0001194")</f>
        <v>FOIA-FWS-2020-00724-0001194</v>
      </c>
      <c r="B1195" s="3" t="s">
        <v>2177</v>
      </c>
      <c r="C1195" s="3" t="s">
        <v>234</v>
      </c>
      <c r="D1195" s="3" t="s">
        <v>160</v>
      </c>
      <c r="E1195" s="3" t="s">
        <v>2176</v>
      </c>
      <c r="F1195" s="4">
        <v>43515.774305555555</v>
      </c>
      <c r="G1195" s="3"/>
      <c r="H1195" s="3"/>
      <c r="I1195" s="3" t="s">
        <v>7043</v>
      </c>
      <c r="J1195" s="3"/>
      <c r="K1195" s="3"/>
      <c r="L1195" s="5"/>
    </row>
    <row r="1196" spans="1:12" ht="43.2" x14ac:dyDescent="0.55000000000000004">
      <c r="A1196" s="9" t="str">
        <f>HYPERLINK("PDF\FOIA-FWS-2020-00724-0001195.pdf","FOIA-FWS-2020-00724-0001195")</f>
        <v>FOIA-FWS-2020-00724-0001195</v>
      </c>
      <c r="B1196" s="3" t="s">
        <v>2178</v>
      </c>
      <c r="C1196" s="3" t="s">
        <v>3</v>
      </c>
      <c r="D1196" s="3" t="s">
        <v>33</v>
      </c>
      <c r="E1196" s="3" t="s">
        <v>2180</v>
      </c>
      <c r="F1196" s="4">
        <v>43515.82916666667</v>
      </c>
      <c r="G1196" s="3" t="s">
        <v>1719</v>
      </c>
      <c r="H1196" s="3" t="s">
        <v>2179</v>
      </c>
      <c r="I1196" s="3" t="s">
        <v>7043</v>
      </c>
      <c r="J1196" s="3"/>
      <c r="K1196" s="3"/>
      <c r="L1196" s="5"/>
    </row>
    <row r="1197" spans="1:12" ht="28.8" x14ac:dyDescent="0.55000000000000004">
      <c r="A1197" s="9" t="str">
        <f>HYPERLINK("PDF\FOIA-FWS-2020-00724-0001196.pdf","FOIA-FWS-2020-00724-0001196")</f>
        <v>FOIA-FWS-2020-00724-0001196</v>
      </c>
      <c r="B1197" s="3" t="s">
        <v>2181</v>
      </c>
      <c r="C1197" s="3" t="s">
        <v>3</v>
      </c>
      <c r="D1197" s="3" t="s">
        <v>33</v>
      </c>
      <c r="E1197" s="3" t="s">
        <v>2159</v>
      </c>
      <c r="F1197" s="4">
        <v>43516.465277777781</v>
      </c>
      <c r="G1197" s="3" t="s">
        <v>963</v>
      </c>
      <c r="H1197" s="3" t="s">
        <v>955</v>
      </c>
      <c r="I1197" s="3" t="s">
        <v>7043</v>
      </c>
      <c r="J1197" s="3"/>
      <c r="K1197" s="3"/>
      <c r="L1197" s="5"/>
    </row>
    <row r="1198" spans="1:12" ht="115.2" x14ac:dyDescent="0.55000000000000004">
      <c r="A1198" s="9" t="str">
        <f>HYPERLINK("PDF\FOIA-FWS-2020-00724-0001197.pdf","FOIA-FWS-2020-00724-0001197")</f>
        <v>FOIA-FWS-2020-00724-0001197</v>
      </c>
      <c r="B1198" s="3" t="s">
        <v>2182</v>
      </c>
      <c r="C1198" s="3" t="s">
        <v>3</v>
      </c>
      <c r="D1198" s="3" t="s">
        <v>33</v>
      </c>
      <c r="E1198" s="3" t="s">
        <v>2184</v>
      </c>
      <c r="F1198" s="4">
        <v>43516.488194444442</v>
      </c>
      <c r="G1198" s="3" t="s">
        <v>963</v>
      </c>
      <c r="H1198" s="3" t="s">
        <v>2183</v>
      </c>
      <c r="I1198" s="3" t="s">
        <v>7043</v>
      </c>
      <c r="J1198" s="3"/>
      <c r="K1198" s="3"/>
      <c r="L1198" s="5"/>
    </row>
    <row r="1199" spans="1:12" ht="28.8" x14ac:dyDescent="0.55000000000000004">
      <c r="A1199" s="9" t="str">
        <f>HYPERLINK("PDF\FOIA-FWS-2020-00724-0001198.pdf","FOIA-FWS-2020-00724-0001198")</f>
        <v>FOIA-FWS-2020-00724-0001198</v>
      </c>
      <c r="B1199" s="3" t="s">
        <v>2185</v>
      </c>
      <c r="C1199" s="3" t="s">
        <v>3</v>
      </c>
      <c r="D1199" s="3" t="s">
        <v>33</v>
      </c>
      <c r="E1199" s="3" t="s">
        <v>2186</v>
      </c>
      <c r="F1199" s="4">
        <v>43516.513194444444</v>
      </c>
      <c r="G1199" s="3" t="s">
        <v>955</v>
      </c>
      <c r="H1199" s="3" t="s">
        <v>1392</v>
      </c>
      <c r="I1199" s="3" t="s">
        <v>7043</v>
      </c>
      <c r="J1199" s="3"/>
      <c r="K1199" s="3"/>
      <c r="L1199" s="5"/>
    </row>
    <row r="1200" spans="1:12" ht="28.8" x14ac:dyDescent="0.55000000000000004">
      <c r="A1200" s="9" t="str">
        <f>HYPERLINK("PDF\FOIA-FWS-2020-00724-0001199.pdf","FOIA-FWS-2020-00724-0001199")</f>
        <v>FOIA-FWS-2020-00724-0001199</v>
      </c>
      <c r="B1200" s="3" t="s">
        <v>2187</v>
      </c>
      <c r="C1200" s="3" t="s">
        <v>3</v>
      </c>
      <c r="D1200" s="3" t="s">
        <v>33</v>
      </c>
      <c r="E1200" s="3" t="s">
        <v>2188</v>
      </c>
      <c r="F1200" s="4">
        <v>43516.702777777777</v>
      </c>
      <c r="G1200" s="3" t="s">
        <v>1392</v>
      </c>
      <c r="H1200" s="3" t="s">
        <v>955</v>
      </c>
      <c r="I1200" s="3" t="s">
        <v>7043</v>
      </c>
      <c r="J1200" s="3"/>
      <c r="K1200" s="3"/>
      <c r="L1200" s="5"/>
    </row>
    <row r="1201" spans="1:12" ht="28.8" x14ac:dyDescent="0.55000000000000004">
      <c r="A1201" s="9" t="str">
        <f>HYPERLINK("PDF\FOIA-FWS-2020-00724-0001200.pdf","FOIA-FWS-2020-00724-0001200")</f>
        <v>FOIA-FWS-2020-00724-0001200</v>
      </c>
      <c r="B1201" s="3" t="s">
        <v>2189</v>
      </c>
      <c r="C1201" s="3" t="s">
        <v>3</v>
      </c>
      <c r="D1201" s="3" t="s">
        <v>33</v>
      </c>
      <c r="E1201" s="3" t="s">
        <v>2191</v>
      </c>
      <c r="F1201" s="4">
        <v>43516.871527777781</v>
      </c>
      <c r="G1201" s="3" t="s">
        <v>1392</v>
      </c>
      <c r="H1201" s="3" t="s">
        <v>2190</v>
      </c>
      <c r="I1201" s="3" t="s">
        <v>7043</v>
      </c>
      <c r="J1201" s="3"/>
      <c r="K1201" s="3"/>
      <c r="L1201" s="5"/>
    </row>
    <row r="1202" spans="1:12" ht="28.8" x14ac:dyDescent="0.55000000000000004">
      <c r="A1202" s="9" t="str">
        <f>HYPERLINK("PDF\FOIA-FWS-2020-00724-0001201.pdf","FOIA-FWS-2020-00724-0001201")</f>
        <v>FOIA-FWS-2020-00724-0001201</v>
      </c>
      <c r="B1202" s="3" t="s">
        <v>2192</v>
      </c>
      <c r="C1202" s="3" t="s">
        <v>3</v>
      </c>
      <c r="D1202" s="3" t="s">
        <v>33</v>
      </c>
      <c r="E1202" s="3" t="s">
        <v>2193</v>
      </c>
      <c r="F1202" s="4">
        <v>43517</v>
      </c>
      <c r="G1202" s="3"/>
      <c r="H1202" s="3"/>
      <c r="I1202" s="3" t="s">
        <v>7043</v>
      </c>
      <c r="J1202" s="3"/>
      <c r="K1202" s="3"/>
      <c r="L1202" s="5"/>
    </row>
    <row r="1203" spans="1:12" ht="28.8" x14ac:dyDescent="0.55000000000000004">
      <c r="A1203" s="9" t="str">
        <f>HYPERLINK("PDF\FOIA-FWS-2020-00724-0001202.pdf","FOIA-FWS-2020-00724-0001202")</f>
        <v>FOIA-FWS-2020-00724-0001202</v>
      </c>
      <c r="B1203" s="3" t="s">
        <v>2194</v>
      </c>
      <c r="C1203" s="3" t="s">
        <v>3</v>
      </c>
      <c r="D1203" s="3" t="s">
        <v>33</v>
      </c>
      <c r="E1203" s="3" t="s">
        <v>2195</v>
      </c>
      <c r="F1203" s="4">
        <v>43517</v>
      </c>
      <c r="G1203" s="3"/>
      <c r="H1203" s="3"/>
      <c r="I1203" s="3" t="s">
        <v>7043</v>
      </c>
      <c r="J1203" s="3"/>
      <c r="K1203" s="3"/>
      <c r="L1203" s="5"/>
    </row>
    <row r="1204" spans="1:12" ht="28.8" x14ac:dyDescent="0.55000000000000004">
      <c r="A1204" s="9" t="str">
        <f>HYPERLINK("PDF\FOIA-FWS-2020-00724-0001203.pdf","FOIA-FWS-2020-00724-0001203")</f>
        <v>FOIA-FWS-2020-00724-0001203</v>
      </c>
      <c r="B1204" s="3" t="s">
        <v>2196</v>
      </c>
      <c r="C1204" s="3" t="s">
        <v>3</v>
      </c>
      <c r="D1204" s="3" t="s">
        <v>33</v>
      </c>
      <c r="E1204" s="3" t="s">
        <v>2197</v>
      </c>
      <c r="F1204" s="4">
        <v>43517</v>
      </c>
      <c r="G1204" s="3"/>
      <c r="H1204" s="3"/>
      <c r="I1204" s="3" t="s">
        <v>7043</v>
      </c>
      <c r="J1204" s="3"/>
      <c r="K1204" s="3"/>
      <c r="L1204" s="5"/>
    </row>
    <row r="1205" spans="1:12" ht="28.8" x14ac:dyDescent="0.55000000000000004">
      <c r="A1205" s="9" t="str">
        <f>HYPERLINK("PDF\FOIA-FWS-2020-00724-0001204.pdf","FOIA-FWS-2020-00724-0001204")</f>
        <v>FOIA-FWS-2020-00724-0001204</v>
      </c>
      <c r="B1205" s="3" t="s">
        <v>2198</v>
      </c>
      <c r="C1205" s="3" t="s">
        <v>3</v>
      </c>
      <c r="D1205" s="3" t="s">
        <v>33</v>
      </c>
      <c r="E1205" s="3" t="s">
        <v>2199</v>
      </c>
      <c r="F1205" s="4">
        <v>43517</v>
      </c>
      <c r="G1205" s="3"/>
      <c r="H1205" s="3"/>
      <c r="I1205" s="3" t="s">
        <v>7043</v>
      </c>
      <c r="J1205" s="3"/>
      <c r="K1205" s="3"/>
      <c r="L1205" s="5"/>
    </row>
    <row r="1206" spans="1:12" ht="28.8" x14ac:dyDescent="0.55000000000000004">
      <c r="A1206" s="9" t="str">
        <f>HYPERLINK("PDF\FOIA-FWS-2020-00724-0001205.pdf","FOIA-FWS-2020-00724-0001205")</f>
        <v>FOIA-FWS-2020-00724-0001205</v>
      </c>
      <c r="B1206" s="3" t="s">
        <v>2200</v>
      </c>
      <c r="C1206" s="3" t="s">
        <v>3</v>
      </c>
      <c r="D1206" s="3" t="s">
        <v>33</v>
      </c>
      <c r="E1206" s="3" t="s">
        <v>2201</v>
      </c>
      <c r="F1206" s="4">
        <v>43517.536805555559</v>
      </c>
      <c r="G1206" s="3" t="s">
        <v>1772</v>
      </c>
      <c r="H1206" s="3" t="s">
        <v>955</v>
      </c>
      <c r="I1206" s="3" t="s">
        <v>7043</v>
      </c>
      <c r="J1206" s="3"/>
      <c r="K1206" s="3"/>
      <c r="L1206" s="5"/>
    </row>
    <row r="1207" spans="1:12" ht="28.8" x14ac:dyDescent="0.55000000000000004">
      <c r="A1207" s="9" t="str">
        <f>HYPERLINK("PDF\FOIA-FWS-2020-00724-0001206.pdf","FOIA-FWS-2020-00724-0001206")</f>
        <v>FOIA-FWS-2020-00724-0001206</v>
      </c>
      <c r="B1207" s="3" t="s">
        <v>2200</v>
      </c>
      <c r="C1207" s="3" t="s">
        <v>234</v>
      </c>
      <c r="D1207" s="3" t="s">
        <v>33</v>
      </c>
      <c r="E1207" s="3" t="s">
        <v>2202</v>
      </c>
      <c r="F1207" s="4">
        <v>43517.536805555559</v>
      </c>
      <c r="G1207" s="3"/>
      <c r="H1207" s="3"/>
      <c r="I1207" s="3" t="s">
        <v>7043</v>
      </c>
      <c r="J1207" s="3"/>
      <c r="K1207" s="3"/>
      <c r="L1207" s="5"/>
    </row>
    <row r="1208" spans="1:12" ht="43.2" x14ac:dyDescent="0.55000000000000004">
      <c r="A1208" s="9" t="str">
        <f>HYPERLINK("PDF\FOIA-FWS-2020-00724-0001207.pdf","FOIA-FWS-2020-00724-0001207")</f>
        <v>FOIA-FWS-2020-00724-0001207</v>
      </c>
      <c r="B1208" s="3" t="s">
        <v>2203</v>
      </c>
      <c r="C1208" s="3" t="s">
        <v>3</v>
      </c>
      <c r="D1208" s="3" t="s">
        <v>33</v>
      </c>
      <c r="E1208" s="3" t="s">
        <v>2204</v>
      </c>
      <c r="F1208" s="4">
        <v>43517.627083333333</v>
      </c>
      <c r="G1208" s="3" t="s">
        <v>963</v>
      </c>
      <c r="H1208" s="3" t="s">
        <v>955</v>
      </c>
      <c r="I1208" s="3" t="s">
        <v>7043</v>
      </c>
      <c r="J1208" s="3"/>
      <c r="K1208" s="3"/>
      <c r="L1208" s="5"/>
    </row>
    <row r="1209" spans="1:12" ht="28.8" x14ac:dyDescent="0.55000000000000004">
      <c r="A1209" s="9" t="str">
        <f>HYPERLINK("PDF\FOIA-FWS-2020-00724-0001208.pdf","FOIA-FWS-2020-00724-0001208")</f>
        <v>FOIA-FWS-2020-00724-0001208</v>
      </c>
      <c r="B1209" s="3" t="s">
        <v>2205</v>
      </c>
      <c r="C1209" s="3" t="s">
        <v>3</v>
      </c>
      <c r="D1209" s="3" t="s">
        <v>33</v>
      </c>
      <c r="E1209" s="3" t="s">
        <v>2207</v>
      </c>
      <c r="F1209" s="4">
        <v>43517.686111111114</v>
      </c>
      <c r="G1209" s="3" t="s">
        <v>919</v>
      </c>
      <c r="H1209" s="3" t="s">
        <v>2206</v>
      </c>
      <c r="I1209" s="3" t="s">
        <v>7043</v>
      </c>
      <c r="J1209" s="3"/>
      <c r="K1209" s="3"/>
      <c r="L1209" s="5"/>
    </row>
    <row r="1210" spans="1:12" ht="57.6" x14ac:dyDescent="0.55000000000000004">
      <c r="A1210" s="9" t="str">
        <f>HYPERLINK("PDF\FOIA-FWS-2020-00724-0001209.pdf","FOIA-FWS-2020-00724-0001209")</f>
        <v>FOIA-FWS-2020-00724-0001209</v>
      </c>
      <c r="B1210" s="3" t="s">
        <v>2208</v>
      </c>
      <c r="C1210" s="3" t="s">
        <v>3</v>
      </c>
      <c r="D1210" s="3" t="s">
        <v>33</v>
      </c>
      <c r="E1210" s="3" t="s">
        <v>2209</v>
      </c>
      <c r="F1210" s="4">
        <v>43517.689583333333</v>
      </c>
      <c r="G1210" s="3" t="s">
        <v>945</v>
      </c>
      <c r="H1210" s="3" t="s">
        <v>963</v>
      </c>
      <c r="I1210" s="3" t="s">
        <v>7049</v>
      </c>
      <c r="J1210" s="3" t="s">
        <v>7056</v>
      </c>
      <c r="K1210" s="3" t="s">
        <v>7036</v>
      </c>
      <c r="L1210" s="5"/>
    </row>
    <row r="1211" spans="1:12" ht="28.8" x14ac:dyDescent="0.55000000000000004">
      <c r="A1211" s="9" t="str">
        <f>HYPERLINK("PDF\FOIA-FWS-2020-00724-0001210.pdf","FOIA-FWS-2020-00724-0001210")</f>
        <v>FOIA-FWS-2020-00724-0001210</v>
      </c>
      <c r="B1211" s="3" t="s">
        <v>2210</v>
      </c>
      <c r="C1211" s="3" t="s">
        <v>3</v>
      </c>
      <c r="D1211" s="3" t="s">
        <v>33</v>
      </c>
      <c r="E1211" s="3" t="s">
        <v>2213</v>
      </c>
      <c r="F1211" s="4">
        <v>43517.727083333331</v>
      </c>
      <c r="G1211" s="3" t="s">
        <v>2211</v>
      </c>
      <c r="H1211" s="3" t="s">
        <v>2212</v>
      </c>
      <c r="I1211" s="3" t="s">
        <v>7043</v>
      </c>
      <c r="J1211" s="3"/>
      <c r="K1211" s="3"/>
      <c r="L1211" s="5"/>
    </row>
    <row r="1212" spans="1:12" ht="28.8" x14ac:dyDescent="0.55000000000000004">
      <c r="A1212" s="9" t="str">
        <f>HYPERLINK("PDF\FOIA-FWS-2020-00724-0001211.pdf","FOIA-FWS-2020-00724-0001211")</f>
        <v>FOIA-FWS-2020-00724-0001211</v>
      </c>
      <c r="B1212" s="3" t="s">
        <v>2214</v>
      </c>
      <c r="C1212" s="3" t="s">
        <v>3</v>
      </c>
      <c r="D1212" s="3" t="s">
        <v>33</v>
      </c>
      <c r="E1212" s="3" t="s">
        <v>2213</v>
      </c>
      <c r="F1212" s="4">
        <v>43517.728472222225</v>
      </c>
      <c r="G1212" s="3" t="s">
        <v>2211</v>
      </c>
      <c r="H1212" s="3" t="s">
        <v>2215</v>
      </c>
      <c r="I1212" s="3" t="s">
        <v>7043</v>
      </c>
      <c r="J1212" s="3"/>
      <c r="K1212" s="3"/>
      <c r="L1212" s="5"/>
    </row>
    <row r="1213" spans="1:12" ht="43.2" x14ac:dyDescent="0.55000000000000004">
      <c r="A1213" s="9" t="str">
        <f>HYPERLINK("PDF\FOIA-FWS-2020-00724-0001212.pdf","FOIA-FWS-2020-00724-0001212")</f>
        <v>FOIA-FWS-2020-00724-0001212</v>
      </c>
      <c r="B1213" s="3" t="s">
        <v>2216</v>
      </c>
      <c r="C1213" s="3" t="s">
        <v>3</v>
      </c>
      <c r="D1213" s="3" t="s">
        <v>33</v>
      </c>
      <c r="E1213" s="3" t="s">
        <v>2217</v>
      </c>
      <c r="F1213" s="4">
        <v>43517.827777777777</v>
      </c>
      <c r="G1213" s="3" t="s">
        <v>955</v>
      </c>
      <c r="H1213" s="3" t="s">
        <v>963</v>
      </c>
      <c r="I1213" s="3" t="s">
        <v>7048</v>
      </c>
      <c r="J1213" s="3" t="s">
        <v>7050</v>
      </c>
      <c r="K1213" s="3" t="s">
        <v>7036</v>
      </c>
      <c r="L1213" s="5"/>
    </row>
    <row r="1214" spans="1:12" ht="28.8" x14ac:dyDescent="0.55000000000000004">
      <c r="A1214" s="9" t="str">
        <f>HYPERLINK("PDF\FOIA-FWS-2020-00724-0001213.pdf","FOIA-FWS-2020-00724-0001213")</f>
        <v>FOIA-FWS-2020-00724-0001213</v>
      </c>
      <c r="B1214" s="3" t="s">
        <v>2218</v>
      </c>
      <c r="C1214" s="3" t="s">
        <v>3</v>
      </c>
      <c r="D1214" s="3" t="s">
        <v>33</v>
      </c>
      <c r="E1214" s="3" t="s">
        <v>2220</v>
      </c>
      <c r="F1214" s="4">
        <v>43517.863194444442</v>
      </c>
      <c r="G1214" s="3" t="s">
        <v>2219</v>
      </c>
      <c r="H1214" s="3" t="s">
        <v>1250</v>
      </c>
      <c r="I1214" s="3" t="s">
        <v>7043</v>
      </c>
      <c r="J1214" s="3"/>
      <c r="K1214" s="3"/>
      <c r="L1214" s="5"/>
    </row>
    <row r="1215" spans="1:12" ht="28.8" x14ac:dyDescent="0.55000000000000004">
      <c r="A1215" s="9" t="str">
        <f>HYPERLINK("PDF\FOIA-FWS-2020-00724-0001214.pdf","FOIA-FWS-2020-00724-0001214")</f>
        <v>FOIA-FWS-2020-00724-0001214</v>
      </c>
      <c r="B1215" s="3" t="s">
        <v>2221</v>
      </c>
      <c r="C1215" s="3" t="s">
        <v>3</v>
      </c>
      <c r="D1215" s="3" t="s">
        <v>33</v>
      </c>
      <c r="E1215" s="3" t="s">
        <v>2222</v>
      </c>
      <c r="F1215" s="4">
        <v>43518</v>
      </c>
      <c r="G1215" s="3"/>
      <c r="H1215" s="3"/>
      <c r="I1215" s="3" t="s">
        <v>7043</v>
      </c>
      <c r="J1215" s="3"/>
      <c r="K1215" s="3"/>
      <c r="L1215" s="5"/>
    </row>
    <row r="1216" spans="1:12" ht="28.8" x14ac:dyDescent="0.55000000000000004">
      <c r="A1216" s="9" t="str">
        <f>HYPERLINK("PDF\FOIA-FWS-2020-00724-0001215.pdf","FOIA-FWS-2020-00724-0001215")</f>
        <v>FOIA-FWS-2020-00724-0001215</v>
      </c>
      <c r="B1216" s="3" t="s">
        <v>2223</v>
      </c>
      <c r="C1216" s="3" t="s">
        <v>3</v>
      </c>
      <c r="D1216" s="3" t="s">
        <v>33</v>
      </c>
      <c r="E1216" s="3" t="s">
        <v>2224</v>
      </c>
      <c r="F1216" s="4">
        <v>43518</v>
      </c>
      <c r="G1216" s="3"/>
      <c r="H1216" s="3"/>
      <c r="I1216" s="3" t="s">
        <v>7043</v>
      </c>
      <c r="J1216" s="3"/>
      <c r="K1216" s="3"/>
      <c r="L1216" s="5"/>
    </row>
    <row r="1217" spans="1:12" ht="28.8" x14ac:dyDescent="0.55000000000000004">
      <c r="A1217" s="9" t="str">
        <f>HYPERLINK("PDF\FOIA-FWS-2020-00724-0001216.pdf","FOIA-FWS-2020-00724-0001216")</f>
        <v>FOIA-FWS-2020-00724-0001216</v>
      </c>
      <c r="B1217" s="3" t="s">
        <v>2225</v>
      </c>
      <c r="C1217" s="3" t="s">
        <v>3</v>
      </c>
      <c r="D1217" s="3" t="s">
        <v>38</v>
      </c>
      <c r="E1217" s="3" t="s">
        <v>2226</v>
      </c>
      <c r="F1217" s="4">
        <v>43518</v>
      </c>
      <c r="G1217" s="3"/>
      <c r="H1217" s="3"/>
      <c r="I1217" s="3" t="s">
        <v>7043</v>
      </c>
      <c r="J1217" s="3"/>
      <c r="K1217" s="3"/>
      <c r="L1217" s="5"/>
    </row>
    <row r="1218" spans="1:12" ht="28.8" x14ac:dyDescent="0.55000000000000004">
      <c r="A1218" s="9" t="str">
        <f>HYPERLINK("PDF\FOIA-FWS-2020-00724-0001217.pdf","FOIA-FWS-2020-00724-0001217")</f>
        <v>FOIA-FWS-2020-00724-0001217</v>
      </c>
      <c r="B1218" s="3" t="s">
        <v>2227</v>
      </c>
      <c r="C1218" s="3" t="s">
        <v>3</v>
      </c>
      <c r="D1218" s="3" t="s">
        <v>38</v>
      </c>
      <c r="E1218" s="3" t="s">
        <v>2228</v>
      </c>
      <c r="F1218" s="4">
        <v>43518</v>
      </c>
      <c r="G1218" s="3"/>
      <c r="H1218" s="3"/>
      <c r="I1218" s="3" t="s">
        <v>7043</v>
      </c>
      <c r="J1218" s="3"/>
      <c r="K1218" s="3"/>
      <c r="L1218" s="5"/>
    </row>
    <row r="1219" spans="1:12" ht="43.2" x14ac:dyDescent="0.55000000000000004">
      <c r="A1219" s="9" t="str">
        <f>HYPERLINK("PDF\FOIA-FWS-2020-00724-0001218.pdf","FOIA-FWS-2020-00724-0001218")</f>
        <v>FOIA-FWS-2020-00724-0001218</v>
      </c>
      <c r="B1219" s="3" t="s">
        <v>2229</v>
      </c>
      <c r="C1219" s="3" t="s">
        <v>3</v>
      </c>
      <c r="D1219" s="3" t="s">
        <v>33</v>
      </c>
      <c r="E1219" s="3" t="s">
        <v>2230</v>
      </c>
      <c r="F1219" s="4">
        <v>43518</v>
      </c>
      <c r="G1219" s="3"/>
      <c r="H1219" s="3"/>
      <c r="I1219" s="3" t="s">
        <v>7043</v>
      </c>
      <c r="J1219" s="3"/>
      <c r="K1219" s="3"/>
      <c r="L1219" s="5"/>
    </row>
    <row r="1220" spans="1:12" ht="28.8" x14ac:dyDescent="0.55000000000000004">
      <c r="A1220" s="9" t="str">
        <f>HYPERLINK("PDF\FOIA-FWS-2020-00724-0001219.pdf","FOIA-FWS-2020-00724-0001219")</f>
        <v>FOIA-FWS-2020-00724-0001219</v>
      </c>
      <c r="B1220" s="3" t="s">
        <v>2231</v>
      </c>
      <c r="C1220" s="3" t="s">
        <v>3</v>
      </c>
      <c r="D1220" s="3" t="s">
        <v>33</v>
      </c>
      <c r="E1220" s="3" t="s">
        <v>2233</v>
      </c>
      <c r="F1220" s="4">
        <v>43518.473611111112</v>
      </c>
      <c r="G1220" s="3" t="s">
        <v>945</v>
      </c>
      <c r="H1220" s="3" t="s">
        <v>2232</v>
      </c>
      <c r="I1220" s="3" t="s">
        <v>7043</v>
      </c>
      <c r="J1220" s="3"/>
      <c r="K1220" s="3"/>
      <c r="L1220" s="5"/>
    </row>
    <row r="1221" spans="1:12" ht="115.2" x14ac:dyDescent="0.55000000000000004">
      <c r="A1221" s="9" t="str">
        <f>HYPERLINK("PDF\FOIA-FWS-2020-00724-0001220.pdf","FOIA-FWS-2020-00724-0001220")</f>
        <v>FOIA-FWS-2020-00724-0001220</v>
      </c>
      <c r="B1221" s="3" t="s">
        <v>2234</v>
      </c>
      <c r="C1221" s="3" t="s">
        <v>3</v>
      </c>
      <c r="D1221" s="3" t="s">
        <v>33</v>
      </c>
      <c r="E1221" s="3" t="s">
        <v>2236</v>
      </c>
      <c r="F1221" s="4">
        <v>43518.592361111114</v>
      </c>
      <c r="G1221" s="3" t="s">
        <v>963</v>
      </c>
      <c r="H1221" s="3" t="s">
        <v>2235</v>
      </c>
      <c r="I1221" s="3" t="s">
        <v>7043</v>
      </c>
      <c r="J1221" s="3"/>
      <c r="K1221" s="3"/>
      <c r="L1221" s="5"/>
    </row>
    <row r="1222" spans="1:12" ht="28.8" x14ac:dyDescent="0.55000000000000004">
      <c r="A1222" s="9" t="str">
        <f>HYPERLINK("PDF\FOIA-FWS-2020-00724-0001221.pdf","FOIA-FWS-2020-00724-0001221")</f>
        <v>FOIA-FWS-2020-00724-0001221</v>
      </c>
      <c r="B1222" s="3" t="s">
        <v>2234</v>
      </c>
      <c r="C1222" s="3" t="s">
        <v>234</v>
      </c>
      <c r="D1222" s="3" t="s">
        <v>33</v>
      </c>
      <c r="E1222" s="3" t="s">
        <v>2237</v>
      </c>
      <c r="F1222" s="4">
        <v>43518.592361111114</v>
      </c>
      <c r="G1222" s="3"/>
      <c r="H1222" s="3"/>
      <c r="I1222" s="3" t="s">
        <v>7043</v>
      </c>
      <c r="J1222" s="3"/>
      <c r="K1222" s="3"/>
      <c r="L1222" s="5"/>
    </row>
    <row r="1223" spans="1:12" ht="28.8" x14ac:dyDescent="0.55000000000000004">
      <c r="A1223" s="9" t="str">
        <f>HYPERLINK("PDF\FOIA-FWS-2020-00724-0001222.pdf","FOIA-FWS-2020-00724-0001222")</f>
        <v>FOIA-FWS-2020-00724-0001222</v>
      </c>
      <c r="B1223" s="3" t="s">
        <v>2234</v>
      </c>
      <c r="C1223" s="3" t="s">
        <v>234</v>
      </c>
      <c r="D1223" s="3" t="s">
        <v>33</v>
      </c>
      <c r="E1223" s="3" t="s">
        <v>2238</v>
      </c>
      <c r="F1223" s="4">
        <v>43518.592361111114</v>
      </c>
      <c r="G1223" s="3"/>
      <c r="H1223" s="3"/>
      <c r="I1223" s="3" t="s">
        <v>7043</v>
      </c>
      <c r="J1223" s="3"/>
      <c r="K1223" s="3"/>
      <c r="L1223" s="5"/>
    </row>
    <row r="1224" spans="1:12" ht="28.8" x14ac:dyDescent="0.55000000000000004">
      <c r="A1224" s="9" t="str">
        <f>HYPERLINK("PDF\FOIA-FWS-2020-00724-0001223.pdf","FOIA-FWS-2020-00724-0001223")</f>
        <v>FOIA-FWS-2020-00724-0001223</v>
      </c>
      <c r="B1224" s="3" t="s">
        <v>2234</v>
      </c>
      <c r="C1224" s="3" t="s">
        <v>234</v>
      </c>
      <c r="D1224" s="3" t="s">
        <v>33</v>
      </c>
      <c r="E1224" s="3" t="s">
        <v>2239</v>
      </c>
      <c r="F1224" s="4">
        <v>43518.592361111114</v>
      </c>
      <c r="G1224" s="3"/>
      <c r="H1224" s="3"/>
      <c r="I1224" s="3" t="s">
        <v>7043</v>
      </c>
      <c r="J1224" s="3"/>
      <c r="K1224" s="3"/>
      <c r="L1224" s="5"/>
    </row>
    <row r="1225" spans="1:12" ht="28.8" x14ac:dyDescent="0.55000000000000004">
      <c r="A1225" s="9" t="str">
        <f>HYPERLINK("PDF\FOIA-FWS-2020-00724-0001224.pdf","FOIA-FWS-2020-00724-0001224")</f>
        <v>FOIA-FWS-2020-00724-0001224</v>
      </c>
      <c r="B1225" s="3" t="s">
        <v>2234</v>
      </c>
      <c r="C1225" s="3" t="s">
        <v>234</v>
      </c>
      <c r="D1225" s="3" t="s">
        <v>33</v>
      </c>
      <c r="E1225" s="3" t="s">
        <v>2240</v>
      </c>
      <c r="F1225" s="4">
        <v>43518.592361111114</v>
      </c>
      <c r="G1225" s="3"/>
      <c r="H1225" s="3"/>
      <c r="I1225" s="3" t="s">
        <v>7043</v>
      </c>
      <c r="J1225" s="3"/>
      <c r="K1225" s="3"/>
      <c r="L1225" s="5"/>
    </row>
    <row r="1226" spans="1:12" ht="28.8" x14ac:dyDescent="0.55000000000000004">
      <c r="A1226" s="9" t="str">
        <f>HYPERLINK("PDF\FOIA-FWS-2020-00724-0001225.pdf","FOIA-FWS-2020-00724-0001225")</f>
        <v>FOIA-FWS-2020-00724-0001225</v>
      </c>
      <c r="B1226" s="3" t="s">
        <v>2234</v>
      </c>
      <c r="C1226" s="3" t="s">
        <v>234</v>
      </c>
      <c r="D1226" s="3" t="s">
        <v>33</v>
      </c>
      <c r="E1226" s="3" t="s">
        <v>2241</v>
      </c>
      <c r="F1226" s="4">
        <v>43518.592361111114</v>
      </c>
      <c r="G1226" s="3"/>
      <c r="H1226" s="3"/>
      <c r="I1226" s="3" t="s">
        <v>7043</v>
      </c>
      <c r="J1226" s="3"/>
      <c r="K1226" s="3"/>
      <c r="L1226" s="5"/>
    </row>
    <row r="1227" spans="1:12" ht="28.8" x14ac:dyDescent="0.55000000000000004">
      <c r="A1227" s="9" t="str">
        <f>HYPERLINK("PDF\FOIA-FWS-2020-00724-0001226.pdf","FOIA-FWS-2020-00724-0001226")</f>
        <v>FOIA-FWS-2020-00724-0001226</v>
      </c>
      <c r="B1227" s="3" t="s">
        <v>2234</v>
      </c>
      <c r="C1227" s="3" t="s">
        <v>234</v>
      </c>
      <c r="D1227" s="3" t="s">
        <v>33</v>
      </c>
      <c r="E1227" s="3" t="s">
        <v>2242</v>
      </c>
      <c r="F1227" s="4">
        <v>43518.592361111114</v>
      </c>
      <c r="G1227" s="3"/>
      <c r="H1227" s="3"/>
      <c r="I1227" s="3" t="s">
        <v>7043</v>
      </c>
      <c r="J1227" s="3"/>
      <c r="K1227" s="3"/>
      <c r="L1227" s="5"/>
    </row>
    <row r="1228" spans="1:12" ht="28.8" x14ac:dyDescent="0.55000000000000004">
      <c r="A1228" s="9" t="str">
        <f>HYPERLINK("PDF\FOIA-FWS-2020-00724-0001227.pdf","FOIA-FWS-2020-00724-0001227")</f>
        <v>FOIA-FWS-2020-00724-0001227</v>
      </c>
      <c r="B1228" s="3" t="s">
        <v>2234</v>
      </c>
      <c r="C1228" s="3" t="s">
        <v>234</v>
      </c>
      <c r="D1228" s="3" t="s">
        <v>33</v>
      </c>
      <c r="E1228" s="3" t="s">
        <v>2243</v>
      </c>
      <c r="F1228" s="4">
        <v>43518.592361111114</v>
      </c>
      <c r="G1228" s="3"/>
      <c r="H1228" s="3"/>
      <c r="I1228" s="3" t="s">
        <v>7043</v>
      </c>
      <c r="J1228" s="3"/>
      <c r="K1228" s="3"/>
      <c r="L1228" s="5"/>
    </row>
    <row r="1229" spans="1:12" ht="28.8" x14ac:dyDescent="0.55000000000000004">
      <c r="A1229" s="9" t="str">
        <f>HYPERLINK("PDF\FOIA-FWS-2020-00724-0001228.pdf","FOIA-FWS-2020-00724-0001228")</f>
        <v>FOIA-FWS-2020-00724-0001228</v>
      </c>
      <c r="B1229" s="3" t="s">
        <v>2234</v>
      </c>
      <c r="C1229" s="3" t="s">
        <v>234</v>
      </c>
      <c r="D1229" s="3" t="s">
        <v>33</v>
      </c>
      <c r="E1229" s="3" t="s">
        <v>2244</v>
      </c>
      <c r="F1229" s="4">
        <v>43518.592361111114</v>
      </c>
      <c r="G1229" s="3"/>
      <c r="H1229" s="3"/>
      <c r="I1229" s="3" t="s">
        <v>7043</v>
      </c>
      <c r="J1229" s="3"/>
      <c r="K1229" s="3"/>
      <c r="L1229" s="5"/>
    </row>
    <row r="1230" spans="1:12" ht="28.8" x14ac:dyDescent="0.55000000000000004">
      <c r="A1230" s="9" t="str">
        <f>HYPERLINK("PDF\FOIA-FWS-2020-00724-0001229.pdf","FOIA-FWS-2020-00724-0001229")</f>
        <v>FOIA-FWS-2020-00724-0001229</v>
      </c>
      <c r="B1230" s="3" t="s">
        <v>2245</v>
      </c>
      <c r="C1230" s="3" t="s">
        <v>3</v>
      </c>
      <c r="D1230" s="3" t="s">
        <v>33</v>
      </c>
      <c r="E1230" s="3" t="s">
        <v>2247</v>
      </c>
      <c r="F1230" s="4">
        <v>43518.731249999997</v>
      </c>
      <c r="G1230" s="3" t="s">
        <v>1392</v>
      </c>
      <c r="H1230" s="3" t="s">
        <v>2246</v>
      </c>
      <c r="I1230" s="3" t="s">
        <v>7043</v>
      </c>
      <c r="J1230" s="3"/>
      <c r="K1230" s="3"/>
      <c r="L1230" s="5"/>
    </row>
    <row r="1231" spans="1:12" ht="28.8" x14ac:dyDescent="0.55000000000000004">
      <c r="A1231" s="9" t="str">
        <f>HYPERLINK("PDF\FOIA-FWS-2020-00724-0001230.pdf","FOIA-FWS-2020-00724-0001230")</f>
        <v>FOIA-FWS-2020-00724-0001230</v>
      </c>
      <c r="B1231" s="3" t="s">
        <v>2248</v>
      </c>
      <c r="C1231" s="3" t="s">
        <v>3</v>
      </c>
      <c r="D1231" s="3" t="s">
        <v>4</v>
      </c>
      <c r="E1231" s="3" t="s">
        <v>2249</v>
      </c>
      <c r="F1231" s="4">
        <v>43520</v>
      </c>
      <c r="G1231" s="3"/>
      <c r="H1231" s="3"/>
      <c r="I1231" s="3" t="s">
        <v>7043</v>
      </c>
      <c r="J1231" s="3"/>
      <c r="K1231" s="3"/>
      <c r="L1231" s="5"/>
    </row>
    <row r="1232" spans="1:12" ht="28.8" x14ac:dyDescent="0.55000000000000004">
      <c r="A1232" s="9" t="str">
        <f>HYPERLINK("PDF\FOIA-FWS-2020-00724-0001231.pdf","FOIA-FWS-2020-00724-0001231")</f>
        <v>FOIA-FWS-2020-00724-0001231</v>
      </c>
      <c r="B1232" s="3" t="s">
        <v>2250</v>
      </c>
      <c r="C1232" s="3" t="s">
        <v>3</v>
      </c>
      <c r="D1232" s="3" t="s">
        <v>33</v>
      </c>
      <c r="E1232" s="3" t="s">
        <v>2252</v>
      </c>
      <c r="F1232" s="4">
        <v>43520.777777777781</v>
      </c>
      <c r="G1232" s="3" t="s">
        <v>2251</v>
      </c>
      <c r="H1232" s="3" t="s">
        <v>1392</v>
      </c>
      <c r="I1232" s="3" t="s">
        <v>7043</v>
      </c>
      <c r="J1232" s="3"/>
      <c r="K1232" s="3"/>
      <c r="L1232" s="5"/>
    </row>
    <row r="1233" spans="1:12" ht="28.8" x14ac:dyDescent="0.55000000000000004">
      <c r="A1233" s="9" t="str">
        <f>HYPERLINK("PDF\FOIA-FWS-2020-00724-0001232.pdf","FOIA-FWS-2020-00724-0001232")</f>
        <v>FOIA-FWS-2020-00724-0001232</v>
      </c>
      <c r="B1233" s="3" t="s">
        <v>2250</v>
      </c>
      <c r="C1233" s="3" t="s">
        <v>234</v>
      </c>
      <c r="D1233" s="3" t="s">
        <v>33</v>
      </c>
      <c r="E1233" s="3" t="s">
        <v>2253</v>
      </c>
      <c r="F1233" s="4">
        <v>43520.777777777781</v>
      </c>
      <c r="G1233" s="3"/>
      <c r="H1233" s="3"/>
      <c r="I1233" s="3" t="s">
        <v>7043</v>
      </c>
      <c r="J1233" s="3"/>
      <c r="K1233" s="3"/>
      <c r="L1233" s="5"/>
    </row>
    <row r="1234" spans="1:12" ht="28.8" x14ac:dyDescent="0.55000000000000004">
      <c r="A1234" s="9" t="str">
        <f>HYPERLINK("PDF\FOIA-FWS-2020-00724-0001233.pdf","FOIA-FWS-2020-00724-0001233")</f>
        <v>FOIA-FWS-2020-00724-0001233</v>
      </c>
      <c r="B1234" s="3" t="s">
        <v>2254</v>
      </c>
      <c r="C1234" s="3" t="s">
        <v>3</v>
      </c>
      <c r="D1234" s="3" t="s">
        <v>4</v>
      </c>
      <c r="E1234" s="3" t="s">
        <v>2255</v>
      </c>
      <c r="F1234" s="4">
        <v>43521</v>
      </c>
      <c r="G1234" s="3"/>
      <c r="H1234" s="3"/>
      <c r="I1234" s="3" t="s">
        <v>7043</v>
      </c>
      <c r="J1234" s="3"/>
      <c r="K1234" s="3"/>
      <c r="L1234" s="5"/>
    </row>
    <row r="1235" spans="1:12" ht="28.8" x14ac:dyDescent="0.55000000000000004">
      <c r="A1235" s="9" t="str">
        <f>HYPERLINK("PDF\FOIA-FWS-2020-00724-0001234.pdf","FOIA-FWS-2020-00724-0001234")</f>
        <v>FOIA-FWS-2020-00724-0001234</v>
      </c>
      <c r="B1235" s="3" t="s">
        <v>2256</v>
      </c>
      <c r="C1235" s="3" t="s">
        <v>3</v>
      </c>
      <c r="D1235" s="3" t="s">
        <v>38</v>
      </c>
      <c r="E1235" s="3" t="s">
        <v>2257</v>
      </c>
      <c r="F1235" s="4">
        <v>43521</v>
      </c>
      <c r="G1235" s="3"/>
      <c r="H1235" s="3"/>
      <c r="I1235" s="3" t="s">
        <v>7043</v>
      </c>
      <c r="J1235" s="3"/>
      <c r="K1235" s="3"/>
      <c r="L1235" s="5"/>
    </row>
    <row r="1236" spans="1:12" ht="230.4" x14ac:dyDescent="0.55000000000000004">
      <c r="A1236" s="9" t="str">
        <f>HYPERLINK("PDF\FOIA-FWS-2020-00724-0001235.pdf","FOIA-FWS-2020-00724-0001235")</f>
        <v>FOIA-FWS-2020-00724-0001235</v>
      </c>
      <c r="B1236" s="3" t="s">
        <v>2258</v>
      </c>
      <c r="C1236" s="3" t="s">
        <v>3</v>
      </c>
      <c r="D1236" s="3" t="s">
        <v>33</v>
      </c>
      <c r="E1236" s="3" t="s">
        <v>2260</v>
      </c>
      <c r="F1236" s="4">
        <v>43521.459027777775</v>
      </c>
      <c r="G1236" s="3" t="s">
        <v>945</v>
      </c>
      <c r="H1236" s="3" t="s">
        <v>2259</v>
      </c>
      <c r="I1236" s="3" t="s">
        <v>7043</v>
      </c>
      <c r="J1236" s="3"/>
      <c r="K1236" s="3"/>
      <c r="L1236" s="5"/>
    </row>
    <row r="1237" spans="1:12" ht="28.8" x14ac:dyDescent="0.55000000000000004">
      <c r="A1237" s="9" t="str">
        <f>HYPERLINK("PDF\FOIA-FWS-2020-00724-0001236.pdf","FOIA-FWS-2020-00724-0001236")</f>
        <v>FOIA-FWS-2020-00724-0001236</v>
      </c>
      <c r="B1237" s="3" t="s">
        <v>2261</v>
      </c>
      <c r="C1237" s="3" t="s">
        <v>3</v>
      </c>
      <c r="D1237" s="3" t="s">
        <v>33</v>
      </c>
      <c r="E1237" s="3" t="s">
        <v>2263</v>
      </c>
      <c r="F1237" s="4">
        <v>43521.788194444445</v>
      </c>
      <c r="G1237" s="3" t="s">
        <v>2262</v>
      </c>
      <c r="H1237" s="3" t="s">
        <v>1392</v>
      </c>
      <c r="I1237" s="3" t="s">
        <v>7043</v>
      </c>
      <c r="J1237" s="3"/>
      <c r="K1237" s="3"/>
      <c r="L1237" s="5"/>
    </row>
    <row r="1238" spans="1:12" ht="28.8" x14ac:dyDescent="0.55000000000000004">
      <c r="A1238" s="9" t="str">
        <f>HYPERLINK("PDF\FOIA-FWS-2020-00724-0001237.pdf","FOIA-FWS-2020-00724-0001237")</f>
        <v>FOIA-FWS-2020-00724-0001237</v>
      </c>
      <c r="B1238" s="3" t="s">
        <v>2264</v>
      </c>
      <c r="C1238" s="3" t="s">
        <v>3</v>
      </c>
      <c r="D1238" s="3" t="s">
        <v>33</v>
      </c>
      <c r="E1238" s="3" t="s">
        <v>2265</v>
      </c>
      <c r="F1238" s="4">
        <v>43521.801388888889</v>
      </c>
      <c r="G1238" s="3" t="s">
        <v>1392</v>
      </c>
      <c r="H1238" s="3" t="s">
        <v>963</v>
      </c>
      <c r="I1238" s="3" t="s">
        <v>7043</v>
      </c>
      <c r="J1238" s="3"/>
      <c r="K1238" s="3"/>
      <c r="L1238" s="5"/>
    </row>
    <row r="1239" spans="1:12" ht="28.8" x14ac:dyDescent="0.55000000000000004">
      <c r="A1239" s="9" t="str">
        <f>HYPERLINK("PDF\FOIA-FWS-2020-00724-0001238.pdf","FOIA-FWS-2020-00724-0001238")</f>
        <v>FOIA-FWS-2020-00724-0001238</v>
      </c>
      <c r="B1239" s="3" t="s">
        <v>2264</v>
      </c>
      <c r="C1239" s="3" t="s">
        <v>234</v>
      </c>
      <c r="D1239" s="3" t="s">
        <v>33</v>
      </c>
      <c r="E1239" s="3" t="s">
        <v>2266</v>
      </c>
      <c r="F1239" s="4">
        <v>43521.801388888889</v>
      </c>
      <c r="G1239" s="3"/>
      <c r="H1239" s="3"/>
      <c r="I1239" s="3" t="s">
        <v>7043</v>
      </c>
      <c r="J1239" s="3"/>
      <c r="K1239" s="3"/>
      <c r="L1239" s="5"/>
    </row>
    <row r="1240" spans="1:12" ht="28.8" x14ac:dyDescent="0.55000000000000004">
      <c r="A1240" s="9" t="str">
        <f>HYPERLINK("PDF\FOIA-FWS-2020-00724-0001239.pdf","FOIA-FWS-2020-00724-0001239")</f>
        <v>FOIA-FWS-2020-00724-0001239</v>
      </c>
      <c r="B1240" s="3" t="s">
        <v>2264</v>
      </c>
      <c r="C1240" s="3" t="s">
        <v>234</v>
      </c>
      <c r="D1240" s="3" t="s">
        <v>33</v>
      </c>
      <c r="E1240" s="3" t="s">
        <v>2267</v>
      </c>
      <c r="F1240" s="4">
        <v>43521.801388888889</v>
      </c>
      <c r="G1240" s="3"/>
      <c r="H1240" s="3"/>
      <c r="I1240" s="3" t="s">
        <v>7043</v>
      </c>
      <c r="J1240" s="3"/>
      <c r="K1240" s="3"/>
      <c r="L1240" s="5"/>
    </row>
    <row r="1241" spans="1:12" ht="28.8" x14ac:dyDescent="0.55000000000000004">
      <c r="A1241" s="9" t="str">
        <f>HYPERLINK("PDF\FOIA-FWS-2020-00724-0001240.pdf","FOIA-FWS-2020-00724-0001240")</f>
        <v>FOIA-FWS-2020-00724-0001240</v>
      </c>
      <c r="B1241" s="3" t="s">
        <v>2268</v>
      </c>
      <c r="C1241" s="3" t="s">
        <v>3</v>
      </c>
      <c r="D1241" s="3" t="s">
        <v>38</v>
      </c>
      <c r="E1241" s="3" t="s">
        <v>2269</v>
      </c>
      <c r="F1241" s="4">
        <v>43522</v>
      </c>
      <c r="G1241" s="3"/>
      <c r="H1241" s="3"/>
      <c r="I1241" s="3" t="s">
        <v>7043</v>
      </c>
      <c r="J1241" s="3"/>
      <c r="K1241" s="3"/>
      <c r="L1241" s="5"/>
    </row>
    <row r="1242" spans="1:12" ht="28.8" x14ac:dyDescent="0.55000000000000004">
      <c r="A1242" s="9" t="str">
        <f>HYPERLINK("PDF\FOIA-FWS-2020-00724-0001241.pdf","FOIA-FWS-2020-00724-0001241")</f>
        <v>FOIA-FWS-2020-00724-0001241</v>
      </c>
      <c r="B1242" s="3" t="s">
        <v>2270</v>
      </c>
      <c r="C1242" s="3" t="s">
        <v>3</v>
      </c>
      <c r="D1242" s="3" t="s">
        <v>38</v>
      </c>
      <c r="E1242" s="3" t="s">
        <v>2271</v>
      </c>
      <c r="F1242" s="4">
        <v>43522</v>
      </c>
      <c r="G1242" s="3"/>
      <c r="H1242" s="3"/>
      <c r="I1242" s="3" t="s">
        <v>7043</v>
      </c>
      <c r="J1242" s="3"/>
      <c r="K1242" s="3"/>
      <c r="L1242" s="5"/>
    </row>
    <row r="1243" spans="1:12" ht="28.8" x14ac:dyDescent="0.55000000000000004">
      <c r="A1243" s="9" t="str">
        <f>HYPERLINK("PDF\FOIA-FWS-2020-00724-0001242.pdf","FOIA-FWS-2020-00724-0001242")</f>
        <v>FOIA-FWS-2020-00724-0001242</v>
      </c>
      <c r="B1243" s="3" t="s">
        <v>2272</v>
      </c>
      <c r="C1243" s="3" t="s">
        <v>3</v>
      </c>
      <c r="D1243" s="3" t="s">
        <v>38</v>
      </c>
      <c r="E1243" s="3" t="s">
        <v>2273</v>
      </c>
      <c r="F1243" s="4">
        <v>43522</v>
      </c>
      <c r="G1243" s="3"/>
      <c r="H1243" s="3"/>
      <c r="I1243" s="3" t="s">
        <v>7043</v>
      </c>
      <c r="J1243" s="3"/>
      <c r="K1243" s="3"/>
      <c r="L1243" s="5"/>
    </row>
    <row r="1244" spans="1:12" ht="28.8" x14ac:dyDescent="0.55000000000000004">
      <c r="A1244" s="9" t="str">
        <f>HYPERLINK("PDF\FOIA-FWS-2020-00724-0001243.pdf","FOIA-FWS-2020-00724-0001243")</f>
        <v>FOIA-FWS-2020-00724-0001243</v>
      </c>
      <c r="B1244" s="3" t="s">
        <v>2274</v>
      </c>
      <c r="C1244" s="3" t="s">
        <v>3</v>
      </c>
      <c r="D1244" s="3" t="s">
        <v>33</v>
      </c>
      <c r="E1244" s="3" t="s">
        <v>2275</v>
      </c>
      <c r="F1244" s="4">
        <v>43522</v>
      </c>
      <c r="G1244" s="3"/>
      <c r="H1244" s="3"/>
      <c r="I1244" s="3" t="s">
        <v>7043</v>
      </c>
      <c r="J1244" s="3"/>
      <c r="K1244" s="3"/>
      <c r="L1244" s="5"/>
    </row>
    <row r="1245" spans="1:12" ht="28.8" x14ac:dyDescent="0.55000000000000004">
      <c r="A1245" s="9" t="str">
        <f>HYPERLINK("PDF\FOIA-FWS-2020-00724-0001244.pdf","FOIA-FWS-2020-00724-0001244")</f>
        <v>FOIA-FWS-2020-00724-0001244</v>
      </c>
      <c r="B1245" s="3" t="s">
        <v>2276</v>
      </c>
      <c r="C1245" s="3" t="s">
        <v>3</v>
      </c>
      <c r="D1245" s="3" t="s">
        <v>38</v>
      </c>
      <c r="E1245" s="3" t="s">
        <v>2277</v>
      </c>
      <c r="F1245" s="4">
        <v>43522</v>
      </c>
      <c r="G1245" s="3"/>
      <c r="H1245" s="3"/>
      <c r="I1245" s="3" t="s">
        <v>7043</v>
      </c>
      <c r="J1245" s="3"/>
      <c r="K1245" s="3"/>
      <c r="L1245" s="5"/>
    </row>
    <row r="1246" spans="1:12" ht="28.8" x14ac:dyDescent="0.55000000000000004">
      <c r="A1246" s="9" t="str">
        <f>HYPERLINK("PDF\FOIA-FWS-2020-00724-0001245.pdf","FOIA-FWS-2020-00724-0001245")</f>
        <v>FOIA-FWS-2020-00724-0001245</v>
      </c>
      <c r="B1246" s="3" t="s">
        <v>2278</v>
      </c>
      <c r="C1246" s="3" t="s">
        <v>3</v>
      </c>
      <c r="D1246" s="3" t="s">
        <v>38</v>
      </c>
      <c r="E1246" s="3" t="s">
        <v>2279</v>
      </c>
      <c r="F1246" s="4">
        <v>43522</v>
      </c>
      <c r="G1246" s="3"/>
      <c r="H1246" s="3"/>
      <c r="I1246" s="3" t="s">
        <v>7043</v>
      </c>
      <c r="J1246" s="3"/>
      <c r="K1246" s="3"/>
      <c r="L1246" s="5"/>
    </row>
    <row r="1247" spans="1:12" ht="43.2" x14ac:dyDescent="0.55000000000000004">
      <c r="A1247" s="9" t="str">
        <f>HYPERLINK("PDF\FOIA-FWS-2020-00724-0001246.pdf","FOIA-FWS-2020-00724-0001246")</f>
        <v>FOIA-FWS-2020-00724-0001246</v>
      </c>
      <c r="B1247" s="3" t="s">
        <v>2280</v>
      </c>
      <c r="C1247" s="3" t="s">
        <v>3</v>
      </c>
      <c r="D1247" s="3" t="s">
        <v>4</v>
      </c>
      <c r="E1247" s="3" t="s">
        <v>2281</v>
      </c>
      <c r="F1247" s="4">
        <v>43522</v>
      </c>
      <c r="G1247" s="3"/>
      <c r="H1247" s="3"/>
      <c r="I1247" s="3" t="s">
        <v>7043</v>
      </c>
      <c r="J1247" s="3"/>
      <c r="K1247" s="3"/>
      <c r="L1247" s="5"/>
    </row>
    <row r="1248" spans="1:12" ht="57.6" x14ac:dyDescent="0.55000000000000004">
      <c r="A1248" s="9" t="str">
        <f>HYPERLINK("PDF\FOIA-FWS-2020-00724-0001247.pdf","FOIA-FWS-2020-00724-0001247")</f>
        <v>FOIA-FWS-2020-00724-0001247</v>
      </c>
      <c r="B1248" s="3" t="s">
        <v>2282</v>
      </c>
      <c r="C1248" s="3" t="s">
        <v>3</v>
      </c>
      <c r="D1248" s="3" t="s">
        <v>33</v>
      </c>
      <c r="E1248" s="3" t="s">
        <v>2283</v>
      </c>
      <c r="F1248" s="4">
        <v>43522.434027777781</v>
      </c>
      <c r="G1248" s="3" t="s">
        <v>1060</v>
      </c>
      <c r="H1248" s="3" t="s">
        <v>963</v>
      </c>
      <c r="I1248" s="3" t="s">
        <v>7043</v>
      </c>
      <c r="J1248" s="3"/>
      <c r="K1248" s="3"/>
      <c r="L1248" s="5"/>
    </row>
    <row r="1249" spans="1:12" ht="28.8" x14ac:dyDescent="0.55000000000000004">
      <c r="A1249" s="9" t="str">
        <f>HYPERLINK("PDF\FOIA-FWS-2020-00724-0001248.pdf","FOIA-FWS-2020-00724-0001248")</f>
        <v>FOIA-FWS-2020-00724-0001248</v>
      </c>
      <c r="B1249" s="3" t="s">
        <v>2282</v>
      </c>
      <c r="C1249" s="3" t="s">
        <v>234</v>
      </c>
      <c r="D1249" s="3" t="s">
        <v>38</v>
      </c>
      <c r="E1249" s="3" t="s">
        <v>2284</v>
      </c>
      <c r="F1249" s="4">
        <v>43522.434027777781</v>
      </c>
      <c r="G1249" s="3"/>
      <c r="H1249" s="3"/>
      <c r="I1249" s="3" t="s">
        <v>7043</v>
      </c>
      <c r="J1249" s="3"/>
      <c r="K1249" s="3"/>
      <c r="L1249" s="5"/>
    </row>
    <row r="1250" spans="1:12" ht="28.8" x14ac:dyDescent="0.55000000000000004">
      <c r="A1250" s="9" t="str">
        <f>HYPERLINK("PDF\FOIA-FWS-2020-00724-0001249.pdf","FOIA-FWS-2020-00724-0001249")</f>
        <v>FOIA-FWS-2020-00724-0001249</v>
      </c>
      <c r="B1250" s="3" t="s">
        <v>2285</v>
      </c>
      <c r="C1250" s="3" t="s">
        <v>3</v>
      </c>
      <c r="D1250" s="3" t="s">
        <v>33</v>
      </c>
      <c r="E1250" s="3" t="s">
        <v>2286</v>
      </c>
      <c r="F1250" s="4">
        <v>43522.515972222223</v>
      </c>
      <c r="G1250" s="3" t="s">
        <v>955</v>
      </c>
      <c r="H1250" s="3" t="s">
        <v>945</v>
      </c>
      <c r="I1250" s="3" t="s">
        <v>7043</v>
      </c>
      <c r="J1250" s="3"/>
      <c r="K1250" s="3"/>
      <c r="L1250" s="5"/>
    </row>
    <row r="1251" spans="1:12" ht="28.8" x14ac:dyDescent="0.55000000000000004">
      <c r="A1251" s="9" t="str">
        <f>HYPERLINK("PDF\FOIA-FWS-2020-00724-0001250.pdf","FOIA-FWS-2020-00724-0001250")</f>
        <v>FOIA-FWS-2020-00724-0001250</v>
      </c>
      <c r="B1251" s="3" t="s">
        <v>2287</v>
      </c>
      <c r="C1251" s="3" t="s">
        <v>3</v>
      </c>
      <c r="D1251" s="3" t="s">
        <v>33</v>
      </c>
      <c r="E1251" s="3" t="s">
        <v>2289</v>
      </c>
      <c r="F1251" s="4">
        <v>43522.561111111114</v>
      </c>
      <c r="G1251" s="3" t="s">
        <v>872</v>
      </c>
      <c r="H1251" s="3" t="s">
        <v>2288</v>
      </c>
      <c r="I1251" s="3" t="s">
        <v>864</v>
      </c>
      <c r="J1251" s="3" t="s">
        <v>7046</v>
      </c>
      <c r="K1251" s="3" t="s">
        <v>7036</v>
      </c>
      <c r="L1251" s="5"/>
    </row>
    <row r="1252" spans="1:12" ht="28.8" x14ac:dyDescent="0.55000000000000004">
      <c r="A1252" s="9" t="str">
        <f>HYPERLINK("PDF\FOIA-FWS-2020-00724-0001251.pdf","FOIA-FWS-2020-00724-0001251")</f>
        <v>FOIA-FWS-2020-00724-0001251</v>
      </c>
      <c r="B1252" s="3" t="s">
        <v>2287</v>
      </c>
      <c r="C1252" s="3" t="s">
        <v>234</v>
      </c>
      <c r="D1252" s="3" t="s">
        <v>33</v>
      </c>
      <c r="E1252" s="3" t="s">
        <v>2290</v>
      </c>
      <c r="F1252" s="4">
        <v>43522.561111111114</v>
      </c>
      <c r="G1252" s="3"/>
      <c r="H1252" s="3"/>
      <c r="I1252" s="3" t="s">
        <v>7043</v>
      </c>
      <c r="J1252" s="3"/>
      <c r="K1252" s="3"/>
      <c r="L1252" s="5"/>
    </row>
    <row r="1253" spans="1:12" ht="28.8" x14ac:dyDescent="0.55000000000000004">
      <c r="A1253" s="9" t="str">
        <f>HYPERLINK("PDF\FOIA-FWS-2020-00724-0001252.pdf","FOIA-FWS-2020-00724-0001252")</f>
        <v>FOIA-FWS-2020-00724-0001252</v>
      </c>
      <c r="B1253" s="3" t="s">
        <v>2291</v>
      </c>
      <c r="C1253" s="3" t="s">
        <v>3</v>
      </c>
      <c r="D1253" s="3" t="s">
        <v>33</v>
      </c>
      <c r="E1253" s="3" t="s">
        <v>2293</v>
      </c>
      <c r="F1253" s="4">
        <v>43522.768055555556</v>
      </c>
      <c r="G1253" s="3" t="s">
        <v>861</v>
      </c>
      <c r="H1253" s="3" t="s">
        <v>2292</v>
      </c>
      <c r="I1253" s="3" t="s">
        <v>7043</v>
      </c>
      <c r="J1253" s="3"/>
      <c r="K1253" s="3"/>
      <c r="L1253" s="5"/>
    </row>
    <row r="1254" spans="1:12" ht="28.8" x14ac:dyDescent="0.55000000000000004">
      <c r="A1254" s="9" t="str">
        <f>HYPERLINK("PDF\FOIA-FWS-2020-00724-0001253.pdf","FOIA-FWS-2020-00724-0001253")</f>
        <v>FOIA-FWS-2020-00724-0001253</v>
      </c>
      <c r="B1254" s="3" t="s">
        <v>2294</v>
      </c>
      <c r="C1254" s="3" t="s">
        <v>3</v>
      </c>
      <c r="D1254" s="3" t="s">
        <v>33</v>
      </c>
      <c r="E1254" s="3" t="s">
        <v>2296</v>
      </c>
      <c r="F1254" s="4">
        <v>43522.789583333331</v>
      </c>
      <c r="G1254" s="3" t="s">
        <v>2086</v>
      </c>
      <c r="H1254" s="3" t="s">
        <v>2295</v>
      </c>
      <c r="I1254" s="3" t="s">
        <v>7043</v>
      </c>
      <c r="J1254" s="3"/>
      <c r="K1254" s="3"/>
      <c r="L1254" s="5"/>
    </row>
    <row r="1255" spans="1:12" ht="28.8" x14ac:dyDescent="0.55000000000000004">
      <c r="A1255" s="9" t="str">
        <f>HYPERLINK("PDF\FOIA-FWS-2020-00724-0001254.pdf","FOIA-FWS-2020-00724-0001254")</f>
        <v>FOIA-FWS-2020-00724-0001254</v>
      </c>
      <c r="B1255" s="3" t="s">
        <v>2294</v>
      </c>
      <c r="C1255" s="3" t="s">
        <v>234</v>
      </c>
      <c r="D1255" s="3" t="s">
        <v>38</v>
      </c>
      <c r="E1255" s="3" t="s">
        <v>2297</v>
      </c>
      <c r="F1255" s="4">
        <v>43522.789583333331</v>
      </c>
      <c r="G1255" s="3"/>
      <c r="H1255" s="3"/>
      <c r="I1255" s="3" t="s">
        <v>7043</v>
      </c>
      <c r="J1255" s="3"/>
      <c r="K1255" s="3"/>
      <c r="L1255" s="5"/>
    </row>
    <row r="1256" spans="1:12" ht="28.8" x14ac:dyDescent="0.55000000000000004">
      <c r="A1256" s="9" t="str">
        <f>HYPERLINK("PDF\FOIA-FWS-2020-00724-0001255.pdf","FOIA-FWS-2020-00724-0001255")</f>
        <v>FOIA-FWS-2020-00724-0001255</v>
      </c>
      <c r="B1256" s="3" t="s">
        <v>2298</v>
      </c>
      <c r="C1256" s="3" t="s">
        <v>3</v>
      </c>
      <c r="D1256" s="3" t="s">
        <v>33</v>
      </c>
      <c r="E1256" s="3" t="s">
        <v>2300</v>
      </c>
      <c r="F1256" s="4">
        <v>43522.852083333331</v>
      </c>
      <c r="G1256" s="3" t="s">
        <v>955</v>
      </c>
      <c r="H1256" s="3" t="s">
        <v>2299</v>
      </c>
      <c r="I1256" s="3" t="s">
        <v>7043</v>
      </c>
      <c r="J1256" s="3"/>
      <c r="K1256" s="3"/>
      <c r="L1256" s="5"/>
    </row>
    <row r="1257" spans="1:12" ht="28.8" x14ac:dyDescent="0.55000000000000004">
      <c r="A1257" s="9" t="str">
        <f>HYPERLINK("PDF\FOIA-FWS-2020-00724-0001256.pdf","FOIA-FWS-2020-00724-0001256")</f>
        <v>FOIA-FWS-2020-00724-0001256</v>
      </c>
      <c r="B1257" s="3" t="s">
        <v>2298</v>
      </c>
      <c r="C1257" s="3" t="s">
        <v>234</v>
      </c>
      <c r="D1257" s="3" t="s">
        <v>33</v>
      </c>
      <c r="E1257" s="3" t="s">
        <v>2301</v>
      </c>
      <c r="F1257" s="4">
        <v>43522.852083333331</v>
      </c>
      <c r="G1257" s="3"/>
      <c r="H1257" s="3"/>
      <c r="I1257" s="3" t="s">
        <v>7043</v>
      </c>
      <c r="J1257" s="3"/>
      <c r="K1257" s="3"/>
      <c r="L1257" s="5"/>
    </row>
    <row r="1258" spans="1:12" ht="28.8" x14ac:dyDescent="0.55000000000000004">
      <c r="A1258" s="9" t="str">
        <f>HYPERLINK("PDF\FOIA-FWS-2020-00724-0001257.pdf","FOIA-FWS-2020-00724-0001257")</f>
        <v>FOIA-FWS-2020-00724-0001257</v>
      </c>
      <c r="B1258" s="3" t="s">
        <v>2302</v>
      </c>
      <c r="C1258" s="3" t="s">
        <v>3</v>
      </c>
      <c r="D1258" s="3" t="s">
        <v>38</v>
      </c>
      <c r="E1258" s="3" t="s">
        <v>2303</v>
      </c>
      <c r="F1258" s="4">
        <v>43523</v>
      </c>
      <c r="G1258" s="3"/>
      <c r="H1258" s="3"/>
      <c r="I1258" s="3" t="s">
        <v>7043</v>
      </c>
      <c r="J1258" s="3"/>
      <c r="K1258" s="3"/>
      <c r="L1258" s="5"/>
    </row>
    <row r="1259" spans="1:12" ht="28.8" x14ac:dyDescent="0.55000000000000004">
      <c r="A1259" s="9" t="str">
        <f>HYPERLINK("PDF\FOIA-FWS-2020-00724-0001258.pdf","FOIA-FWS-2020-00724-0001258")</f>
        <v>FOIA-FWS-2020-00724-0001258</v>
      </c>
      <c r="B1259" s="3" t="s">
        <v>2304</v>
      </c>
      <c r="C1259" s="3" t="s">
        <v>3</v>
      </c>
      <c r="D1259" s="3" t="s">
        <v>33</v>
      </c>
      <c r="E1259" s="3" t="s">
        <v>2305</v>
      </c>
      <c r="F1259" s="4">
        <v>43523.845138888886</v>
      </c>
      <c r="G1259" s="3" t="s">
        <v>955</v>
      </c>
      <c r="H1259" s="3" t="s">
        <v>861</v>
      </c>
      <c r="I1259" s="3" t="s">
        <v>7043</v>
      </c>
      <c r="J1259" s="3"/>
      <c r="K1259" s="3"/>
      <c r="L1259" s="5"/>
    </row>
    <row r="1260" spans="1:12" ht="28.8" x14ac:dyDescent="0.55000000000000004">
      <c r="A1260" s="9" t="str">
        <f>HYPERLINK("PDF\FOIA-FWS-2020-00724-0001259.pdf","FOIA-FWS-2020-00724-0001259")</f>
        <v>FOIA-FWS-2020-00724-0001259</v>
      </c>
      <c r="B1260" s="3" t="s">
        <v>2304</v>
      </c>
      <c r="C1260" s="3" t="s">
        <v>234</v>
      </c>
      <c r="D1260" s="3" t="s">
        <v>33</v>
      </c>
      <c r="E1260" s="3" t="s">
        <v>2306</v>
      </c>
      <c r="F1260" s="4">
        <v>43523.845138888886</v>
      </c>
      <c r="G1260" s="3"/>
      <c r="H1260" s="3"/>
      <c r="I1260" s="3" t="s">
        <v>7043</v>
      </c>
      <c r="J1260" s="3"/>
      <c r="K1260" s="3"/>
      <c r="L1260" s="5"/>
    </row>
    <row r="1261" spans="1:12" ht="28.8" x14ac:dyDescent="0.55000000000000004">
      <c r="A1261" s="9" t="str">
        <f>HYPERLINK("PDF\FOIA-FWS-2020-00724-0001260.pdf","FOIA-FWS-2020-00724-0001260")</f>
        <v>FOIA-FWS-2020-00724-0001260</v>
      </c>
      <c r="B1261" s="3" t="s">
        <v>2307</v>
      </c>
      <c r="C1261" s="3" t="s">
        <v>3</v>
      </c>
      <c r="D1261" s="3" t="s">
        <v>33</v>
      </c>
      <c r="E1261" s="3" t="s">
        <v>2308</v>
      </c>
      <c r="F1261" s="4">
        <v>43523.885416666664</v>
      </c>
      <c r="G1261" s="3" t="s">
        <v>955</v>
      </c>
      <c r="H1261" s="3" t="s">
        <v>861</v>
      </c>
      <c r="I1261" s="3" t="s">
        <v>7043</v>
      </c>
      <c r="J1261" s="3"/>
      <c r="K1261" s="3"/>
      <c r="L1261" s="5"/>
    </row>
    <row r="1262" spans="1:12" ht="43.2" x14ac:dyDescent="0.55000000000000004">
      <c r="A1262" s="9" t="str">
        <f>HYPERLINK("PDF\FOIA-FWS-2020-00724-0001261.pdf","FOIA-FWS-2020-00724-0001261")</f>
        <v>FOIA-FWS-2020-00724-0001261</v>
      </c>
      <c r="B1262" s="3" t="s">
        <v>2309</v>
      </c>
      <c r="C1262" s="3" t="s">
        <v>3</v>
      </c>
      <c r="D1262" s="3" t="s">
        <v>33</v>
      </c>
      <c r="E1262" s="3" t="s">
        <v>2310</v>
      </c>
      <c r="F1262" s="4">
        <v>43524</v>
      </c>
      <c r="G1262" s="3"/>
      <c r="H1262" s="3"/>
      <c r="I1262" s="3" t="s">
        <v>7044</v>
      </c>
      <c r="J1262" s="3" t="s">
        <v>7046</v>
      </c>
      <c r="K1262" s="3" t="s">
        <v>7036</v>
      </c>
      <c r="L1262" s="5"/>
    </row>
    <row r="1263" spans="1:12" ht="28.8" x14ac:dyDescent="0.55000000000000004">
      <c r="A1263" s="9" t="str">
        <f>HYPERLINK("PDF\FOIA-FWS-2020-00724-0001262.pdf","FOIA-FWS-2020-00724-0001262")</f>
        <v>FOIA-FWS-2020-00724-0001262</v>
      </c>
      <c r="B1263" s="3" t="s">
        <v>2311</v>
      </c>
      <c r="C1263" s="3" t="s">
        <v>3</v>
      </c>
      <c r="D1263" s="3" t="s">
        <v>38</v>
      </c>
      <c r="E1263" s="3" t="s">
        <v>2312</v>
      </c>
      <c r="F1263" s="4">
        <v>43524</v>
      </c>
      <c r="G1263" s="3"/>
      <c r="H1263" s="3"/>
      <c r="I1263" s="3" t="s">
        <v>7043</v>
      </c>
      <c r="J1263" s="3"/>
      <c r="K1263" s="3"/>
      <c r="L1263" s="5"/>
    </row>
    <row r="1264" spans="1:12" ht="28.8" x14ac:dyDescent="0.55000000000000004">
      <c r="A1264" s="9" t="str">
        <f>HYPERLINK("PDF\FOIA-FWS-2020-00724-0001263.pdf","FOIA-FWS-2020-00724-0001263")</f>
        <v>FOIA-FWS-2020-00724-0001263</v>
      </c>
      <c r="B1264" s="3" t="s">
        <v>2313</v>
      </c>
      <c r="C1264" s="3" t="s">
        <v>3</v>
      </c>
      <c r="D1264" s="3" t="s">
        <v>38</v>
      </c>
      <c r="E1264" s="3" t="s">
        <v>2314</v>
      </c>
      <c r="F1264" s="4">
        <v>43524</v>
      </c>
      <c r="G1264" s="3"/>
      <c r="H1264" s="3"/>
      <c r="I1264" s="3" t="s">
        <v>7043</v>
      </c>
      <c r="J1264" s="3"/>
      <c r="K1264" s="3"/>
      <c r="L1264" s="5"/>
    </row>
    <row r="1265" spans="1:12" ht="28.8" x14ac:dyDescent="0.55000000000000004">
      <c r="A1265" s="9" t="str">
        <f>HYPERLINK("PDF\FOIA-FWS-2020-00724-0001264.pdf","FOIA-FWS-2020-00724-0001264")</f>
        <v>FOIA-FWS-2020-00724-0001264</v>
      </c>
      <c r="B1265" s="3" t="s">
        <v>2315</v>
      </c>
      <c r="C1265" s="3" t="s">
        <v>3</v>
      </c>
      <c r="D1265" s="3" t="s">
        <v>33</v>
      </c>
      <c r="E1265" s="3" t="s">
        <v>2316</v>
      </c>
      <c r="F1265" s="4">
        <v>43524</v>
      </c>
      <c r="G1265" s="3"/>
      <c r="H1265" s="3"/>
      <c r="I1265" s="3" t="s">
        <v>7043</v>
      </c>
      <c r="J1265" s="3"/>
      <c r="K1265" s="3"/>
      <c r="L1265" s="5"/>
    </row>
    <row r="1266" spans="1:12" ht="28.8" x14ac:dyDescent="0.55000000000000004">
      <c r="A1266" s="9" t="str">
        <f>HYPERLINK("PDF\FOIA-FWS-2020-00724-0001265.pdf","FOIA-FWS-2020-00724-0001265")</f>
        <v>FOIA-FWS-2020-00724-0001265</v>
      </c>
      <c r="B1266" s="3" t="s">
        <v>2317</v>
      </c>
      <c r="C1266" s="3" t="s">
        <v>3</v>
      </c>
      <c r="D1266" s="3" t="s">
        <v>33</v>
      </c>
      <c r="E1266" s="3" t="s">
        <v>211</v>
      </c>
      <c r="F1266" s="4">
        <v>43524</v>
      </c>
      <c r="G1266" s="3"/>
      <c r="H1266" s="3"/>
      <c r="I1266" s="3" t="s">
        <v>7043</v>
      </c>
      <c r="J1266" s="3"/>
      <c r="K1266" s="3"/>
      <c r="L1266" s="5"/>
    </row>
    <row r="1267" spans="1:12" ht="28.8" x14ac:dyDescent="0.55000000000000004">
      <c r="A1267" s="9" t="str">
        <f>HYPERLINK("PDF\FOIA-FWS-2020-00724-0001266.pdf","FOIA-FWS-2020-00724-0001266")</f>
        <v>FOIA-FWS-2020-00724-0001266</v>
      </c>
      <c r="B1267" s="3" t="s">
        <v>2318</v>
      </c>
      <c r="C1267" s="3" t="s">
        <v>3</v>
      </c>
      <c r="D1267" s="3" t="s">
        <v>33</v>
      </c>
      <c r="E1267" s="3" t="s">
        <v>211</v>
      </c>
      <c r="F1267" s="4">
        <v>43524</v>
      </c>
      <c r="G1267" s="3"/>
      <c r="H1267" s="3"/>
      <c r="I1267" s="3" t="s">
        <v>7043</v>
      </c>
      <c r="J1267" s="3"/>
      <c r="K1267" s="3"/>
      <c r="L1267" s="5"/>
    </row>
    <row r="1268" spans="1:12" ht="28.8" x14ac:dyDescent="0.55000000000000004">
      <c r="A1268" s="9" t="str">
        <f>HYPERLINK("PDF\FOIA-FWS-2020-00724-0001267.pdf","FOIA-FWS-2020-00724-0001267")</f>
        <v>FOIA-FWS-2020-00724-0001267</v>
      </c>
      <c r="B1268" s="3" t="s">
        <v>2319</v>
      </c>
      <c r="C1268" s="3" t="s">
        <v>3</v>
      </c>
      <c r="D1268" s="3" t="s">
        <v>33</v>
      </c>
      <c r="E1268" s="3" t="s">
        <v>211</v>
      </c>
      <c r="F1268" s="4">
        <v>43524</v>
      </c>
      <c r="G1268" s="3"/>
      <c r="H1268" s="3"/>
      <c r="I1268" s="3" t="s">
        <v>7043</v>
      </c>
      <c r="J1268" s="3"/>
      <c r="K1268" s="3"/>
      <c r="L1268" s="5"/>
    </row>
    <row r="1269" spans="1:12" ht="28.8" x14ac:dyDescent="0.55000000000000004">
      <c r="A1269" s="9" t="str">
        <f>HYPERLINK("PDF\FOIA-FWS-2020-00724-0001268.pdf","FOIA-FWS-2020-00724-0001268")</f>
        <v>FOIA-FWS-2020-00724-0001268</v>
      </c>
      <c r="B1269" s="3" t="s">
        <v>2320</v>
      </c>
      <c r="C1269" s="3" t="s">
        <v>3</v>
      </c>
      <c r="D1269" s="3" t="s">
        <v>33</v>
      </c>
      <c r="E1269" s="3" t="s">
        <v>211</v>
      </c>
      <c r="F1269" s="4">
        <v>43524</v>
      </c>
      <c r="G1269" s="3"/>
      <c r="H1269" s="3"/>
      <c r="I1269" s="3" t="s">
        <v>7043</v>
      </c>
      <c r="J1269" s="3"/>
      <c r="K1269" s="3"/>
      <c r="L1269" s="5"/>
    </row>
    <row r="1270" spans="1:12" ht="28.8" x14ac:dyDescent="0.55000000000000004">
      <c r="A1270" s="9" t="str">
        <f>HYPERLINK("PDF\FOIA-FWS-2020-00724-0001269.pdf","FOIA-FWS-2020-00724-0001269")</f>
        <v>FOIA-FWS-2020-00724-0001269</v>
      </c>
      <c r="B1270" s="3" t="s">
        <v>2321</v>
      </c>
      <c r="C1270" s="3" t="s">
        <v>3</v>
      </c>
      <c r="D1270" s="3" t="s">
        <v>33</v>
      </c>
      <c r="E1270" s="3" t="s">
        <v>211</v>
      </c>
      <c r="F1270" s="4">
        <v>43524</v>
      </c>
      <c r="G1270" s="3"/>
      <c r="H1270" s="3"/>
      <c r="I1270" s="3" t="s">
        <v>7043</v>
      </c>
      <c r="J1270" s="3"/>
      <c r="K1270" s="3"/>
      <c r="L1270" s="5"/>
    </row>
    <row r="1271" spans="1:12" ht="28.8" x14ac:dyDescent="0.55000000000000004">
      <c r="A1271" s="9" t="str">
        <f>HYPERLINK("PDF\FOIA-FWS-2020-00724-0001270.pdf","FOIA-FWS-2020-00724-0001270")</f>
        <v>FOIA-FWS-2020-00724-0001270</v>
      </c>
      <c r="B1271" s="3" t="s">
        <v>2322</v>
      </c>
      <c r="C1271" s="3" t="s">
        <v>3</v>
      </c>
      <c r="D1271" s="3" t="s">
        <v>33</v>
      </c>
      <c r="E1271" s="3" t="s">
        <v>2323</v>
      </c>
      <c r="F1271" s="4">
        <v>43524</v>
      </c>
      <c r="G1271" s="3"/>
      <c r="H1271" s="3"/>
      <c r="I1271" s="3" t="s">
        <v>7043</v>
      </c>
      <c r="J1271" s="3"/>
      <c r="K1271" s="3"/>
      <c r="L1271" s="5"/>
    </row>
    <row r="1272" spans="1:12" ht="28.8" x14ac:dyDescent="0.55000000000000004">
      <c r="A1272" s="9" t="str">
        <f>HYPERLINK("PDF\FOIA-FWS-2020-00724-0001271.pdf","FOIA-FWS-2020-00724-0001271")</f>
        <v>FOIA-FWS-2020-00724-0001271</v>
      </c>
      <c r="B1272" s="3" t="s">
        <v>2324</v>
      </c>
      <c r="C1272" s="3" t="s">
        <v>3</v>
      </c>
      <c r="D1272" s="3" t="s">
        <v>33</v>
      </c>
      <c r="E1272" s="3" t="s">
        <v>211</v>
      </c>
      <c r="F1272" s="4">
        <v>43524</v>
      </c>
      <c r="G1272" s="3"/>
      <c r="H1272" s="3"/>
      <c r="I1272" s="3" t="s">
        <v>7043</v>
      </c>
      <c r="J1272" s="3"/>
      <c r="K1272" s="3"/>
      <c r="L1272" s="5"/>
    </row>
    <row r="1273" spans="1:12" ht="28.8" x14ac:dyDescent="0.55000000000000004">
      <c r="A1273" s="9" t="str">
        <f>HYPERLINK("PDF\FOIA-FWS-2020-00724-0001272.pdf","FOIA-FWS-2020-00724-0001272")</f>
        <v>FOIA-FWS-2020-00724-0001272</v>
      </c>
      <c r="B1273" s="3" t="s">
        <v>2325</v>
      </c>
      <c r="C1273" s="3" t="s">
        <v>3</v>
      </c>
      <c r="D1273" s="3" t="s">
        <v>33</v>
      </c>
      <c r="E1273" s="3" t="s">
        <v>211</v>
      </c>
      <c r="F1273" s="4">
        <v>43524</v>
      </c>
      <c r="G1273" s="3"/>
      <c r="H1273" s="3"/>
      <c r="I1273" s="3" t="s">
        <v>7043</v>
      </c>
      <c r="J1273" s="3"/>
      <c r="K1273" s="3"/>
      <c r="L1273" s="5"/>
    </row>
    <row r="1274" spans="1:12" ht="28.8" x14ac:dyDescent="0.55000000000000004">
      <c r="A1274" s="9" t="str">
        <f>HYPERLINK("PDF\FOIA-FWS-2020-00724-0001273.pdf","FOIA-FWS-2020-00724-0001273")</f>
        <v>FOIA-FWS-2020-00724-0001273</v>
      </c>
      <c r="B1274" s="3" t="s">
        <v>2326</v>
      </c>
      <c r="C1274" s="3" t="s">
        <v>3</v>
      </c>
      <c r="D1274" s="3" t="s">
        <v>33</v>
      </c>
      <c r="E1274" s="3" t="s">
        <v>2323</v>
      </c>
      <c r="F1274" s="4">
        <v>43524</v>
      </c>
      <c r="G1274" s="3"/>
      <c r="H1274" s="3"/>
      <c r="I1274" s="3" t="s">
        <v>7043</v>
      </c>
      <c r="J1274" s="3"/>
      <c r="K1274" s="3"/>
      <c r="L1274" s="5"/>
    </row>
    <row r="1275" spans="1:12" ht="28.8" x14ac:dyDescent="0.55000000000000004">
      <c r="A1275" s="9" t="str">
        <f>HYPERLINK("PDF\FOIA-FWS-2020-00724-0001274.pdf","FOIA-FWS-2020-00724-0001274")</f>
        <v>FOIA-FWS-2020-00724-0001274</v>
      </c>
      <c r="B1275" s="3" t="s">
        <v>2327</v>
      </c>
      <c r="C1275" s="3" t="s">
        <v>3</v>
      </c>
      <c r="D1275" s="3" t="s">
        <v>33</v>
      </c>
      <c r="E1275" s="3" t="s">
        <v>211</v>
      </c>
      <c r="F1275" s="4">
        <v>43524</v>
      </c>
      <c r="G1275" s="3"/>
      <c r="H1275" s="3"/>
      <c r="I1275" s="3" t="s">
        <v>7043</v>
      </c>
      <c r="J1275" s="3"/>
      <c r="K1275" s="3"/>
      <c r="L1275" s="5"/>
    </row>
    <row r="1276" spans="1:12" ht="28.8" x14ac:dyDescent="0.55000000000000004">
      <c r="A1276" s="9" t="str">
        <f>HYPERLINK("PDF\FOIA-FWS-2020-00724-0001275.pdf","FOIA-FWS-2020-00724-0001275")</f>
        <v>FOIA-FWS-2020-00724-0001275</v>
      </c>
      <c r="B1276" s="3" t="s">
        <v>2328</v>
      </c>
      <c r="C1276" s="3" t="s">
        <v>3</v>
      </c>
      <c r="D1276" s="3" t="s">
        <v>33</v>
      </c>
      <c r="E1276" s="3" t="s">
        <v>2323</v>
      </c>
      <c r="F1276" s="4">
        <v>43524</v>
      </c>
      <c r="G1276" s="3"/>
      <c r="H1276" s="3"/>
      <c r="I1276" s="3" t="s">
        <v>7043</v>
      </c>
      <c r="J1276" s="3"/>
      <c r="K1276" s="3"/>
      <c r="L1276" s="5"/>
    </row>
    <row r="1277" spans="1:12" ht="28.8" x14ac:dyDescent="0.55000000000000004">
      <c r="A1277" s="9" t="str">
        <f>HYPERLINK("PDF\FOIA-FWS-2020-00724-0001276.pdf","FOIA-FWS-2020-00724-0001276")</f>
        <v>FOIA-FWS-2020-00724-0001276</v>
      </c>
      <c r="B1277" s="3" t="s">
        <v>2329</v>
      </c>
      <c r="C1277" s="3" t="s">
        <v>3</v>
      </c>
      <c r="D1277" s="3" t="s">
        <v>4</v>
      </c>
      <c r="E1277" s="3" t="s">
        <v>2330</v>
      </c>
      <c r="F1277" s="4">
        <v>43524</v>
      </c>
      <c r="G1277" s="3"/>
      <c r="H1277" s="3"/>
      <c r="I1277" s="3" t="s">
        <v>7043</v>
      </c>
      <c r="J1277" s="3"/>
      <c r="K1277" s="3"/>
      <c r="L1277" s="5"/>
    </row>
    <row r="1278" spans="1:12" ht="28.8" x14ac:dyDescent="0.55000000000000004">
      <c r="A1278" s="9" t="str">
        <f>HYPERLINK("PDF\FOIA-FWS-2020-00724-0001277.pdf","FOIA-FWS-2020-00724-0001277")</f>
        <v>FOIA-FWS-2020-00724-0001277</v>
      </c>
      <c r="B1278" s="3" t="s">
        <v>2331</v>
      </c>
      <c r="C1278" s="3" t="s">
        <v>3</v>
      </c>
      <c r="D1278" s="3" t="s">
        <v>38</v>
      </c>
      <c r="E1278" s="3" t="s">
        <v>2332</v>
      </c>
      <c r="F1278" s="4">
        <v>43524</v>
      </c>
      <c r="G1278" s="3"/>
      <c r="H1278" s="3"/>
      <c r="I1278" s="3" t="s">
        <v>7043</v>
      </c>
      <c r="J1278" s="3"/>
      <c r="K1278" s="3"/>
      <c r="L1278" s="5"/>
    </row>
    <row r="1279" spans="1:12" ht="28.8" x14ac:dyDescent="0.55000000000000004">
      <c r="A1279" s="9" t="str">
        <f>HYPERLINK("PDF\FOIA-FWS-2020-00724-0001278.pdf","FOIA-FWS-2020-00724-0001278")</f>
        <v>FOIA-FWS-2020-00724-0001278</v>
      </c>
      <c r="B1279" s="3" t="s">
        <v>2333</v>
      </c>
      <c r="C1279" s="3" t="s">
        <v>3</v>
      </c>
      <c r="D1279" s="3" t="s">
        <v>33</v>
      </c>
      <c r="E1279" s="3" t="s">
        <v>2335</v>
      </c>
      <c r="F1279" s="4">
        <v>43524.756249999999</v>
      </c>
      <c r="G1279" s="3" t="s">
        <v>2334</v>
      </c>
      <c r="H1279" s="3" t="s">
        <v>861</v>
      </c>
      <c r="I1279" s="3" t="s">
        <v>7043</v>
      </c>
      <c r="J1279" s="3"/>
      <c r="K1279" s="3"/>
      <c r="L1279" s="5"/>
    </row>
    <row r="1280" spans="1:12" ht="28.8" x14ac:dyDescent="0.55000000000000004">
      <c r="A1280" s="9" t="str">
        <f>HYPERLINK("PDF\FOIA-FWS-2020-00724-0001279.pdf","FOIA-FWS-2020-00724-0001279")</f>
        <v>FOIA-FWS-2020-00724-0001279</v>
      </c>
      <c r="B1280" s="3" t="s">
        <v>2333</v>
      </c>
      <c r="C1280" s="3" t="s">
        <v>234</v>
      </c>
      <c r="D1280" s="3" t="s">
        <v>160</v>
      </c>
      <c r="E1280" s="3" t="s">
        <v>2336</v>
      </c>
      <c r="F1280" s="4">
        <v>43524.756249999999</v>
      </c>
      <c r="G1280" s="3"/>
      <c r="H1280" s="3"/>
      <c r="I1280" s="3" t="s">
        <v>7043</v>
      </c>
      <c r="J1280" s="3"/>
      <c r="K1280" s="3"/>
      <c r="L1280" s="5" t="str">
        <f>HYPERLINK("NATIVE_FILES\FOIA-FWS-2020-00724-0001279.csv","FOIA-FWS-2020-00724-0001279.csv")</f>
        <v>FOIA-FWS-2020-00724-0001279.csv</v>
      </c>
    </row>
    <row r="1281" spans="1:12" ht="28.8" x14ac:dyDescent="0.55000000000000004">
      <c r="A1281" s="9" t="str">
        <f>HYPERLINK("PDF\FOIA-FWS-2020-00724-0001280.pdf","FOIA-FWS-2020-00724-0001280")</f>
        <v>FOIA-FWS-2020-00724-0001280</v>
      </c>
      <c r="B1281" s="3" t="s">
        <v>2333</v>
      </c>
      <c r="C1281" s="3" t="s">
        <v>234</v>
      </c>
      <c r="D1281" s="3" t="s">
        <v>160</v>
      </c>
      <c r="E1281" s="3" t="s">
        <v>2337</v>
      </c>
      <c r="F1281" s="4">
        <v>43524.756249999999</v>
      </c>
      <c r="G1281" s="3"/>
      <c r="H1281" s="3"/>
      <c r="I1281" s="3" t="s">
        <v>7043</v>
      </c>
      <c r="J1281" s="3"/>
      <c r="K1281" s="3"/>
      <c r="L1281" s="5" t="str">
        <f>HYPERLINK("NATIVE_FILES\FOIA-FWS-2020-00724-0001280.csv","FOIA-FWS-2020-00724-0001280.csv")</f>
        <v>FOIA-FWS-2020-00724-0001280.csv</v>
      </c>
    </row>
    <row r="1282" spans="1:12" ht="28.8" x14ac:dyDescent="0.55000000000000004">
      <c r="A1282" s="9" t="str">
        <f>HYPERLINK("PDF\FOIA-FWS-2020-00724-0001281.pdf","FOIA-FWS-2020-00724-0001281")</f>
        <v>FOIA-FWS-2020-00724-0001281</v>
      </c>
      <c r="B1282" s="3" t="s">
        <v>2333</v>
      </c>
      <c r="C1282" s="3" t="s">
        <v>234</v>
      </c>
      <c r="D1282" s="3" t="s">
        <v>160</v>
      </c>
      <c r="E1282" s="3" t="s">
        <v>2338</v>
      </c>
      <c r="F1282" s="4">
        <v>43524.756249999999</v>
      </c>
      <c r="G1282" s="3"/>
      <c r="H1282" s="3"/>
      <c r="I1282" s="3" t="s">
        <v>7043</v>
      </c>
      <c r="J1282" s="3"/>
      <c r="K1282" s="3"/>
      <c r="L1282" s="5"/>
    </row>
    <row r="1283" spans="1:12" ht="28.8" x14ac:dyDescent="0.55000000000000004">
      <c r="A1283" s="9" t="str">
        <f>HYPERLINK("PDF\FOIA-FWS-2020-00724-0001282.pdf","FOIA-FWS-2020-00724-0001282")</f>
        <v>FOIA-FWS-2020-00724-0001282</v>
      </c>
      <c r="B1283" s="3" t="s">
        <v>2339</v>
      </c>
      <c r="C1283" s="3" t="s">
        <v>3</v>
      </c>
      <c r="D1283" s="3" t="s">
        <v>33</v>
      </c>
      <c r="E1283" s="3" t="s">
        <v>2340</v>
      </c>
      <c r="F1283" s="4">
        <v>43524.773611111108</v>
      </c>
      <c r="G1283" s="3" t="s">
        <v>861</v>
      </c>
      <c r="H1283" s="3" t="s">
        <v>2334</v>
      </c>
      <c r="I1283" s="3" t="s">
        <v>7043</v>
      </c>
      <c r="J1283" s="3"/>
      <c r="K1283" s="3"/>
      <c r="L1283" s="5"/>
    </row>
    <row r="1284" spans="1:12" ht="28.8" x14ac:dyDescent="0.55000000000000004">
      <c r="A1284" s="9" t="str">
        <f>HYPERLINK("PDF\FOIA-FWS-2020-00724-0001283.pdf","FOIA-FWS-2020-00724-0001283")</f>
        <v>FOIA-FWS-2020-00724-0001283</v>
      </c>
      <c r="B1284" s="3" t="s">
        <v>2341</v>
      </c>
      <c r="C1284" s="3" t="s">
        <v>3</v>
      </c>
      <c r="D1284" s="3" t="s">
        <v>38</v>
      </c>
      <c r="E1284" s="3" t="s">
        <v>2342</v>
      </c>
      <c r="F1284" s="4">
        <v>43525</v>
      </c>
      <c r="G1284" s="3"/>
      <c r="H1284" s="3"/>
      <c r="I1284" s="3" t="s">
        <v>7043</v>
      </c>
      <c r="J1284" s="3"/>
      <c r="K1284" s="3"/>
      <c r="L1284" s="5"/>
    </row>
    <row r="1285" spans="1:12" ht="28.8" x14ac:dyDescent="0.55000000000000004">
      <c r="A1285" s="9" t="str">
        <f>HYPERLINK("PDF\FOIA-FWS-2020-00724-0001284.pdf","FOIA-FWS-2020-00724-0001284")</f>
        <v>FOIA-FWS-2020-00724-0001284</v>
      </c>
      <c r="B1285" s="3" t="s">
        <v>2343</v>
      </c>
      <c r="C1285" s="3" t="s">
        <v>3</v>
      </c>
      <c r="D1285" s="3" t="s">
        <v>38</v>
      </c>
      <c r="E1285" s="3" t="s">
        <v>2344</v>
      </c>
      <c r="F1285" s="4">
        <v>43525</v>
      </c>
      <c r="G1285" s="3"/>
      <c r="H1285" s="3"/>
      <c r="I1285" s="3" t="s">
        <v>7043</v>
      </c>
      <c r="J1285" s="3"/>
      <c r="K1285" s="3"/>
      <c r="L1285" s="5"/>
    </row>
    <row r="1286" spans="1:12" ht="28.8" x14ac:dyDescent="0.55000000000000004">
      <c r="A1286" s="9" t="str">
        <f>HYPERLINK("PDF\FOIA-FWS-2020-00724-0001285.pdf","FOIA-FWS-2020-00724-0001285")</f>
        <v>FOIA-FWS-2020-00724-0001285</v>
      </c>
      <c r="B1286" s="3" t="s">
        <v>2345</v>
      </c>
      <c r="C1286" s="3" t="s">
        <v>3</v>
      </c>
      <c r="D1286" s="3" t="s">
        <v>38</v>
      </c>
      <c r="E1286" s="3" t="s">
        <v>2346</v>
      </c>
      <c r="F1286" s="4">
        <v>43525</v>
      </c>
      <c r="G1286" s="3"/>
      <c r="H1286" s="3"/>
      <c r="I1286" s="3" t="s">
        <v>7043</v>
      </c>
      <c r="J1286" s="3"/>
      <c r="K1286" s="3"/>
      <c r="L1286" s="5"/>
    </row>
    <row r="1287" spans="1:12" ht="28.8" x14ac:dyDescent="0.55000000000000004">
      <c r="A1287" s="9" t="str">
        <f>HYPERLINK("PDF\FOIA-FWS-2020-00724-0001286.pdf","FOIA-FWS-2020-00724-0001286")</f>
        <v>FOIA-FWS-2020-00724-0001286</v>
      </c>
      <c r="B1287" s="3" t="s">
        <v>2347</v>
      </c>
      <c r="C1287" s="3" t="s">
        <v>3</v>
      </c>
      <c r="D1287" s="3" t="s">
        <v>38</v>
      </c>
      <c r="E1287" s="3" t="s">
        <v>2348</v>
      </c>
      <c r="F1287" s="4">
        <v>43525</v>
      </c>
      <c r="G1287" s="3"/>
      <c r="H1287" s="3"/>
      <c r="I1287" s="3" t="s">
        <v>7043</v>
      </c>
      <c r="J1287" s="3"/>
      <c r="K1287" s="3"/>
      <c r="L1287" s="5"/>
    </row>
    <row r="1288" spans="1:12" ht="28.8" x14ac:dyDescent="0.55000000000000004">
      <c r="A1288" s="9" t="str">
        <f>HYPERLINK("PDF\FOIA-FWS-2020-00724-0001287.pdf","FOIA-FWS-2020-00724-0001287")</f>
        <v>FOIA-FWS-2020-00724-0001287</v>
      </c>
      <c r="B1288" s="3" t="s">
        <v>2349</v>
      </c>
      <c r="C1288" s="3" t="s">
        <v>3</v>
      </c>
      <c r="D1288" s="3" t="s">
        <v>38</v>
      </c>
      <c r="E1288" s="3" t="s">
        <v>2350</v>
      </c>
      <c r="F1288" s="4">
        <v>43525</v>
      </c>
      <c r="G1288" s="3"/>
      <c r="H1288" s="3"/>
      <c r="I1288" s="3" t="s">
        <v>7043</v>
      </c>
      <c r="J1288" s="3"/>
      <c r="K1288" s="3"/>
      <c r="L1288" s="5"/>
    </row>
    <row r="1289" spans="1:12" ht="28.8" x14ac:dyDescent="0.55000000000000004">
      <c r="A1289" s="9" t="str">
        <f>HYPERLINK("PDF\FOIA-FWS-2020-00724-0001288.pdf","FOIA-FWS-2020-00724-0001288")</f>
        <v>FOIA-FWS-2020-00724-0001288</v>
      </c>
      <c r="B1289" s="3" t="s">
        <v>2351</v>
      </c>
      <c r="C1289" s="3" t="s">
        <v>3</v>
      </c>
      <c r="D1289" s="3" t="s">
        <v>38</v>
      </c>
      <c r="E1289" s="3" t="s">
        <v>2352</v>
      </c>
      <c r="F1289" s="4">
        <v>43525</v>
      </c>
      <c r="G1289" s="3"/>
      <c r="H1289" s="3"/>
      <c r="I1289" s="3" t="s">
        <v>7043</v>
      </c>
      <c r="J1289" s="3"/>
      <c r="K1289" s="3"/>
      <c r="L1289" s="5"/>
    </row>
    <row r="1290" spans="1:12" ht="28.8" x14ac:dyDescent="0.55000000000000004">
      <c r="A1290" s="9" t="str">
        <f>HYPERLINK("PDF\FOIA-FWS-2020-00724-0001289.pdf","FOIA-FWS-2020-00724-0001289")</f>
        <v>FOIA-FWS-2020-00724-0001289</v>
      </c>
      <c r="B1290" s="3" t="s">
        <v>2353</v>
      </c>
      <c r="C1290" s="3" t="s">
        <v>3</v>
      </c>
      <c r="D1290" s="3" t="s">
        <v>38</v>
      </c>
      <c r="E1290" s="3" t="s">
        <v>2354</v>
      </c>
      <c r="F1290" s="4">
        <v>43525</v>
      </c>
      <c r="G1290" s="3"/>
      <c r="H1290" s="3"/>
      <c r="I1290" s="3" t="s">
        <v>7043</v>
      </c>
      <c r="J1290" s="3"/>
      <c r="K1290" s="3"/>
      <c r="L1290" s="5"/>
    </row>
    <row r="1291" spans="1:12" ht="28.8" x14ac:dyDescent="0.55000000000000004">
      <c r="A1291" s="9" t="str">
        <f>HYPERLINK("PDF\FOIA-FWS-2020-00724-0001290.pdf","FOIA-FWS-2020-00724-0001290")</f>
        <v>FOIA-FWS-2020-00724-0001290</v>
      </c>
      <c r="B1291" s="3" t="s">
        <v>2355</v>
      </c>
      <c r="C1291" s="3" t="s">
        <v>3</v>
      </c>
      <c r="D1291" s="3" t="s">
        <v>4</v>
      </c>
      <c r="E1291" s="3" t="s">
        <v>2356</v>
      </c>
      <c r="F1291" s="4">
        <v>43525</v>
      </c>
      <c r="G1291" s="3"/>
      <c r="H1291" s="3"/>
      <c r="I1291" s="3" t="s">
        <v>7043</v>
      </c>
      <c r="J1291" s="3"/>
      <c r="K1291" s="3"/>
      <c r="L1291" s="5"/>
    </row>
    <row r="1292" spans="1:12" ht="28.8" x14ac:dyDescent="0.55000000000000004">
      <c r="A1292" s="9" t="str">
        <f>HYPERLINK("PDF\FOIA-FWS-2020-00724-0001291.pdf","FOIA-FWS-2020-00724-0001291")</f>
        <v>FOIA-FWS-2020-00724-0001291</v>
      </c>
      <c r="B1292" s="3" t="s">
        <v>2357</v>
      </c>
      <c r="C1292" s="3" t="s">
        <v>3</v>
      </c>
      <c r="D1292" s="3" t="s">
        <v>33</v>
      </c>
      <c r="E1292" s="3" t="s">
        <v>2359</v>
      </c>
      <c r="F1292" s="4">
        <v>43525.535416666666</v>
      </c>
      <c r="G1292" s="3" t="s">
        <v>919</v>
      </c>
      <c r="H1292" s="3" t="s">
        <v>2358</v>
      </c>
      <c r="I1292" s="3" t="s">
        <v>7043</v>
      </c>
      <c r="J1292" s="3"/>
      <c r="K1292" s="3"/>
      <c r="L1292" s="5"/>
    </row>
    <row r="1293" spans="1:12" ht="43.2" x14ac:dyDescent="0.55000000000000004">
      <c r="A1293" s="9" t="str">
        <f>HYPERLINK("PDF\FOIA-FWS-2020-00724-0001292.pdf","FOIA-FWS-2020-00724-0001292")</f>
        <v>FOIA-FWS-2020-00724-0001292</v>
      </c>
      <c r="B1293" s="3" t="s">
        <v>2357</v>
      </c>
      <c r="C1293" s="3" t="s">
        <v>234</v>
      </c>
      <c r="D1293" s="3" t="s">
        <v>33</v>
      </c>
      <c r="E1293" s="3" t="s">
        <v>2360</v>
      </c>
      <c r="F1293" s="4">
        <v>43525.535416666666</v>
      </c>
      <c r="G1293" s="3"/>
      <c r="H1293" s="3"/>
      <c r="I1293" s="3" t="s">
        <v>7044</v>
      </c>
      <c r="J1293" s="3" t="s">
        <v>7046</v>
      </c>
      <c r="K1293" s="3" t="s">
        <v>7036</v>
      </c>
      <c r="L1293" s="5"/>
    </row>
    <row r="1294" spans="1:12" ht="28.8" x14ac:dyDescent="0.55000000000000004">
      <c r="A1294" s="9" t="str">
        <f>HYPERLINK("PDF\FOIA-FWS-2020-00724-0001293.pdf","FOIA-FWS-2020-00724-0001293")</f>
        <v>FOIA-FWS-2020-00724-0001293</v>
      </c>
      <c r="B1294" s="3" t="s">
        <v>2361</v>
      </c>
      <c r="C1294" s="3" t="s">
        <v>3</v>
      </c>
      <c r="D1294" s="3" t="s">
        <v>38</v>
      </c>
      <c r="E1294" s="3" t="s">
        <v>2362</v>
      </c>
      <c r="F1294" s="4">
        <v>43527</v>
      </c>
      <c r="G1294" s="3"/>
      <c r="H1294" s="3"/>
      <c r="I1294" s="3" t="s">
        <v>7043</v>
      </c>
      <c r="J1294" s="3"/>
      <c r="K1294" s="3"/>
      <c r="L1294" s="5"/>
    </row>
    <row r="1295" spans="1:12" ht="28.8" x14ac:dyDescent="0.55000000000000004">
      <c r="A1295" s="9" t="str">
        <f>HYPERLINK("PDF\FOIA-FWS-2020-00724-0001294.pdf","FOIA-FWS-2020-00724-0001294")</f>
        <v>FOIA-FWS-2020-00724-0001294</v>
      </c>
      <c r="B1295" s="3" t="s">
        <v>2363</v>
      </c>
      <c r="C1295" s="3" t="s">
        <v>3</v>
      </c>
      <c r="D1295" s="3" t="s">
        <v>38</v>
      </c>
      <c r="E1295" s="3" t="s">
        <v>2364</v>
      </c>
      <c r="F1295" s="4">
        <v>43527</v>
      </c>
      <c r="G1295" s="3"/>
      <c r="H1295" s="3"/>
      <c r="I1295" s="3" t="s">
        <v>7043</v>
      </c>
      <c r="J1295" s="3"/>
      <c r="K1295" s="3"/>
      <c r="L1295" s="5"/>
    </row>
    <row r="1296" spans="1:12" ht="28.8" x14ac:dyDescent="0.55000000000000004">
      <c r="A1296" s="9" t="str">
        <f>HYPERLINK("PDF\FOIA-FWS-2020-00724-0001295.pdf","FOIA-FWS-2020-00724-0001295")</f>
        <v>FOIA-FWS-2020-00724-0001295</v>
      </c>
      <c r="B1296" s="3" t="s">
        <v>2365</v>
      </c>
      <c r="C1296" s="3" t="s">
        <v>3</v>
      </c>
      <c r="D1296" s="3" t="s">
        <v>38</v>
      </c>
      <c r="E1296" s="3" t="s">
        <v>2366</v>
      </c>
      <c r="F1296" s="4">
        <v>43528</v>
      </c>
      <c r="G1296" s="3"/>
      <c r="H1296" s="3"/>
      <c r="I1296" s="3" t="s">
        <v>7043</v>
      </c>
      <c r="J1296" s="3"/>
      <c r="K1296" s="3"/>
      <c r="L1296" s="5"/>
    </row>
    <row r="1297" spans="1:12" ht="28.8" x14ac:dyDescent="0.55000000000000004">
      <c r="A1297" s="9" t="str">
        <f>HYPERLINK("PDF\FOIA-FWS-2020-00724-0001296.pdf","FOIA-FWS-2020-00724-0001296")</f>
        <v>FOIA-FWS-2020-00724-0001296</v>
      </c>
      <c r="B1297" s="3" t="s">
        <v>2367</v>
      </c>
      <c r="C1297" s="3" t="s">
        <v>3</v>
      </c>
      <c r="D1297" s="3" t="s">
        <v>38</v>
      </c>
      <c r="E1297" s="3" t="s">
        <v>2368</v>
      </c>
      <c r="F1297" s="4">
        <v>43528</v>
      </c>
      <c r="G1297" s="3"/>
      <c r="H1297" s="3"/>
      <c r="I1297" s="3" t="s">
        <v>7043</v>
      </c>
      <c r="J1297" s="3"/>
      <c r="K1297" s="3"/>
      <c r="L1297" s="5"/>
    </row>
    <row r="1298" spans="1:12" ht="28.8" x14ac:dyDescent="0.55000000000000004">
      <c r="A1298" s="9" t="str">
        <f>HYPERLINK("PDF\FOIA-FWS-2020-00724-0001297.pdf","FOIA-FWS-2020-00724-0001297")</f>
        <v>FOIA-FWS-2020-00724-0001297</v>
      </c>
      <c r="B1298" s="3" t="s">
        <v>2369</v>
      </c>
      <c r="C1298" s="3" t="s">
        <v>3</v>
      </c>
      <c r="D1298" s="3" t="s">
        <v>38</v>
      </c>
      <c r="E1298" s="3" t="s">
        <v>2370</v>
      </c>
      <c r="F1298" s="4">
        <v>43528</v>
      </c>
      <c r="G1298" s="3"/>
      <c r="H1298" s="3"/>
      <c r="I1298" s="3" t="s">
        <v>7043</v>
      </c>
      <c r="J1298" s="3"/>
      <c r="K1298" s="3"/>
      <c r="L1298" s="5"/>
    </row>
    <row r="1299" spans="1:12" ht="28.8" x14ac:dyDescent="0.55000000000000004">
      <c r="A1299" s="9" t="str">
        <f>HYPERLINK("PDF\FOIA-FWS-2020-00724-0001298.pdf","FOIA-FWS-2020-00724-0001298")</f>
        <v>FOIA-FWS-2020-00724-0001298</v>
      </c>
      <c r="B1299" s="3" t="s">
        <v>2371</v>
      </c>
      <c r="C1299" s="3" t="s">
        <v>3</v>
      </c>
      <c r="D1299" s="3" t="s">
        <v>38</v>
      </c>
      <c r="E1299" s="3" t="s">
        <v>2372</v>
      </c>
      <c r="F1299" s="4">
        <v>43528</v>
      </c>
      <c r="G1299" s="3"/>
      <c r="H1299" s="3"/>
      <c r="I1299" s="3" t="s">
        <v>7043</v>
      </c>
      <c r="J1299" s="3"/>
      <c r="K1299" s="3"/>
      <c r="L1299" s="5"/>
    </row>
    <row r="1300" spans="1:12" ht="28.8" x14ac:dyDescent="0.55000000000000004">
      <c r="A1300" s="9" t="str">
        <f>HYPERLINK("PDF\FOIA-FWS-2020-00724-0001299.pdf","FOIA-FWS-2020-00724-0001299")</f>
        <v>FOIA-FWS-2020-00724-0001299</v>
      </c>
      <c r="B1300" s="3" t="s">
        <v>2373</v>
      </c>
      <c r="C1300" s="3" t="s">
        <v>3</v>
      </c>
      <c r="D1300" s="3" t="s">
        <v>38</v>
      </c>
      <c r="E1300" s="3" t="s">
        <v>2374</v>
      </c>
      <c r="F1300" s="4">
        <v>43528</v>
      </c>
      <c r="G1300" s="3"/>
      <c r="H1300" s="3"/>
      <c r="I1300" s="3" t="s">
        <v>7043</v>
      </c>
      <c r="J1300" s="3"/>
      <c r="K1300" s="3"/>
      <c r="L1300" s="5"/>
    </row>
    <row r="1301" spans="1:12" ht="28.8" x14ac:dyDescent="0.55000000000000004">
      <c r="A1301" s="9" t="str">
        <f>HYPERLINK("PDF\FOIA-FWS-2020-00724-0001300.pdf","FOIA-FWS-2020-00724-0001300")</f>
        <v>FOIA-FWS-2020-00724-0001300</v>
      </c>
      <c r="B1301" s="3" t="s">
        <v>2375</v>
      </c>
      <c r="C1301" s="3" t="s">
        <v>3</v>
      </c>
      <c r="D1301" s="3" t="s">
        <v>38</v>
      </c>
      <c r="E1301" s="3" t="s">
        <v>2376</v>
      </c>
      <c r="F1301" s="4">
        <v>43528</v>
      </c>
      <c r="G1301" s="3"/>
      <c r="H1301" s="3"/>
      <c r="I1301" s="3" t="s">
        <v>7043</v>
      </c>
      <c r="J1301" s="3"/>
      <c r="K1301" s="3"/>
      <c r="L1301" s="5"/>
    </row>
    <row r="1302" spans="1:12" ht="28.8" x14ac:dyDescent="0.55000000000000004">
      <c r="A1302" s="9" t="str">
        <f>HYPERLINK("PDF\FOIA-FWS-2020-00724-0001301.pdf","FOIA-FWS-2020-00724-0001301")</f>
        <v>FOIA-FWS-2020-00724-0001301</v>
      </c>
      <c r="B1302" s="3" t="s">
        <v>2377</v>
      </c>
      <c r="C1302" s="3" t="s">
        <v>3</v>
      </c>
      <c r="D1302" s="3" t="s">
        <v>38</v>
      </c>
      <c r="E1302" s="3" t="s">
        <v>2378</v>
      </c>
      <c r="F1302" s="4">
        <v>43528</v>
      </c>
      <c r="G1302" s="3"/>
      <c r="H1302" s="3"/>
      <c r="I1302" s="3" t="s">
        <v>7043</v>
      </c>
      <c r="J1302" s="3"/>
      <c r="K1302" s="3"/>
      <c r="L1302" s="5"/>
    </row>
    <row r="1303" spans="1:12" ht="28.8" x14ac:dyDescent="0.55000000000000004">
      <c r="A1303" s="9" t="str">
        <f>HYPERLINK("PDF\FOIA-FWS-2020-00724-0001302.pdf","FOIA-FWS-2020-00724-0001302")</f>
        <v>FOIA-FWS-2020-00724-0001302</v>
      </c>
      <c r="B1303" s="3" t="s">
        <v>2379</v>
      </c>
      <c r="C1303" s="3" t="s">
        <v>3</v>
      </c>
      <c r="D1303" s="3" t="s">
        <v>38</v>
      </c>
      <c r="E1303" s="3" t="s">
        <v>2380</v>
      </c>
      <c r="F1303" s="4">
        <v>43528</v>
      </c>
      <c r="G1303" s="3"/>
      <c r="H1303" s="3"/>
      <c r="I1303" s="3" t="s">
        <v>7043</v>
      </c>
      <c r="J1303" s="3"/>
      <c r="K1303" s="3"/>
      <c r="L1303" s="5"/>
    </row>
    <row r="1304" spans="1:12" ht="28.8" x14ac:dyDescent="0.55000000000000004">
      <c r="A1304" s="9" t="str">
        <f>HYPERLINK("PDF\FOIA-FWS-2020-00724-0001303.pdf","FOIA-FWS-2020-00724-0001303")</f>
        <v>FOIA-FWS-2020-00724-0001303</v>
      </c>
      <c r="B1304" s="3" t="s">
        <v>2381</v>
      </c>
      <c r="C1304" s="3" t="s">
        <v>3</v>
      </c>
      <c r="D1304" s="3" t="s">
        <v>38</v>
      </c>
      <c r="E1304" s="3" t="s">
        <v>2382</v>
      </c>
      <c r="F1304" s="4">
        <v>43528</v>
      </c>
      <c r="G1304" s="3"/>
      <c r="H1304" s="3"/>
      <c r="I1304" s="3" t="s">
        <v>7043</v>
      </c>
      <c r="J1304" s="3"/>
      <c r="K1304" s="3"/>
      <c r="L1304" s="5"/>
    </row>
    <row r="1305" spans="1:12" ht="28.8" x14ac:dyDescent="0.55000000000000004">
      <c r="A1305" s="9" t="str">
        <f>HYPERLINK("PDF\FOIA-FWS-2020-00724-0001304.pdf","FOIA-FWS-2020-00724-0001304")</f>
        <v>FOIA-FWS-2020-00724-0001304</v>
      </c>
      <c r="B1305" s="3" t="s">
        <v>2383</v>
      </c>
      <c r="C1305" s="3" t="s">
        <v>3</v>
      </c>
      <c r="D1305" s="3" t="s">
        <v>38</v>
      </c>
      <c r="E1305" s="3" t="s">
        <v>2384</v>
      </c>
      <c r="F1305" s="4">
        <v>43528</v>
      </c>
      <c r="G1305" s="3"/>
      <c r="H1305" s="3"/>
      <c r="I1305" s="3" t="s">
        <v>7043</v>
      </c>
      <c r="J1305" s="3"/>
      <c r="K1305" s="3"/>
      <c r="L1305" s="5"/>
    </row>
    <row r="1306" spans="1:12" ht="28.8" x14ac:dyDescent="0.55000000000000004">
      <c r="A1306" s="9" t="str">
        <f>HYPERLINK("PDF\FOIA-FWS-2020-00724-0001305.pdf","FOIA-FWS-2020-00724-0001305")</f>
        <v>FOIA-FWS-2020-00724-0001305</v>
      </c>
      <c r="B1306" s="3" t="s">
        <v>2385</v>
      </c>
      <c r="C1306" s="3" t="s">
        <v>3</v>
      </c>
      <c r="D1306" s="3" t="s">
        <v>38</v>
      </c>
      <c r="E1306" s="3" t="s">
        <v>2386</v>
      </c>
      <c r="F1306" s="4">
        <v>43528</v>
      </c>
      <c r="G1306" s="3"/>
      <c r="H1306" s="3"/>
      <c r="I1306" s="3" t="s">
        <v>7048</v>
      </c>
      <c r="J1306" s="3" t="s">
        <v>7050</v>
      </c>
      <c r="K1306" s="3" t="s">
        <v>7036</v>
      </c>
      <c r="L1306" s="5"/>
    </row>
    <row r="1307" spans="1:12" ht="28.8" x14ac:dyDescent="0.55000000000000004">
      <c r="A1307" s="9" t="str">
        <f>HYPERLINK("PDF\FOIA-FWS-2020-00724-0001306.pdf","FOIA-FWS-2020-00724-0001306")</f>
        <v>FOIA-FWS-2020-00724-0001306</v>
      </c>
      <c r="B1307" s="3" t="s">
        <v>2387</v>
      </c>
      <c r="C1307" s="3" t="s">
        <v>3</v>
      </c>
      <c r="D1307" s="3" t="s">
        <v>38</v>
      </c>
      <c r="E1307" s="3" t="s">
        <v>2388</v>
      </c>
      <c r="F1307" s="4">
        <v>43528</v>
      </c>
      <c r="G1307" s="3"/>
      <c r="H1307" s="3"/>
      <c r="I1307" s="3" t="s">
        <v>7043</v>
      </c>
      <c r="J1307" s="3"/>
      <c r="K1307" s="3"/>
      <c r="L1307" s="5"/>
    </row>
    <row r="1308" spans="1:12" ht="28.8" x14ac:dyDescent="0.55000000000000004">
      <c r="A1308" s="9" t="str">
        <f>HYPERLINK("PDF\FOIA-FWS-2020-00724-0001307.pdf","FOIA-FWS-2020-00724-0001307")</f>
        <v>FOIA-FWS-2020-00724-0001307</v>
      </c>
      <c r="B1308" s="3" t="s">
        <v>2389</v>
      </c>
      <c r="C1308" s="3" t="s">
        <v>3</v>
      </c>
      <c r="D1308" s="3" t="s">
        <v>38</v>
      </c>
      <c r="E1308" s="3" t="s">
        <v>2390</v>
      </c>
      <c r="F1308" s="4">
        <v>43528</v>
      </c>
      <c r="G1308" s="3"/>
      <c r="H1308" s="3"/>
      <c r="I1308" s="3" t="s">
        <v>7043</v>
      </c>
      <c r="J1308" s="3"/>
      <c r="K1308" s="3"/>
      <c r="L1308" s="5"/>
    </row>
    <row r="1309" spans="1:12" ht="28.8" x14ac:dyDescent="0.55000000000000004">
      <c r="A1309" s="9" t="str">
        <f>HYPERLINK("PDF\FOIA-FWS-2020-00724-0001308.pdf","FOIA-FWS-2020-00724-0001308")</f>
        <v>FOIA-FWS-2020-00724-0001308</v>
      </c>
      <c r="B1309" s="3" t="s">
        <v>2391</v>
      </c>
      <c r="C1309" s="3" t="s">
        <v>3</v>
      </c>
      <c r="D1309" s="3" t="s">
        <v>38</v>
      </c>
      <c r="E1309" s="3" t="s">
        <v>2392</v>
      </c>
      <c r="F1309" s="4">
        <v>43528</v>
      </c>
      <c r="G1309" s="3"/>
      <c r="H1309" s="3"/>
      <c r="I1309" s="3" t="s">
        <v>7043</v>
      </c>
      <c r="J1309" s="3"/>
      <c r="K1309" s="3"/>
      <c r="L1309" s="5"/>
    </row>
    <row r="1310" spans="1:12" ht="28.8" x14ac:dyDescent="0.55000000000000004">
      <c r="A1310" s="9" t="str">
        <f>HYPERLINK("PDF\FOIA-FWS-2020-00724-0001309.pdf","FOIA-FWS-2020-00724-0001309")</f>
        <v>FOIA-FWS-2020-00724-0001309</v>
      </c>
      <c r="B1310" s="3" t="s">
        <v>2393</v>
      </c>
      <c r="C1310" s="3" t="s">
        <v>3</v>
      </c>
      <c r="D1310" s="3" t="s">
        <v>38</v>
      </c>
      <c r="E1310" s="3" t="s">
        <v>2394</v>
      </c>
      <c r="F1310" s="4">
        <v>43528</v>
      </c>
      <c r="G1310" s="3"/>
      <c r="H1310" s="3"/>
      <c r="I1310" s="3" t="s">
        <v>7043</v>
      </c>
      <c r="J1310" s="3"/>
      <c r="K1310" s="3"/>
      <c r="L1310" s="5"/>
    </row>
    <row r="1311" spans="1:12" ht="28.8" x14ac:dyDescent="0.55000000000000004">
      <c r="A1311" s="9" t="str">
        <f>HYPERLINK("PDF\FOIA-FWS-2020-00724-0001310.pdf","FOIA-FWS-2020-00724-0001310")</f>
        <v>FOIA-FWS-2020-00724-0001310</v>
      </c>
      <c r="B1311" s="3" t="s">
        <v>2395</v>
      </c>
      <c r="C1311" s="3" t="s">
        <v>3</v>
      </c>
      <c r="D1311" s="3" t="s">
        <v>38</v>
      </c>
      <c r="E1311" s="3" t="s">
        <v>2396</v>
      </c>
      <c r="F1311" s="4">
        <v>43528</v>
      </c>
      <c r="G1311" s="3"/>
      <c r="H1311" s="3"/>
      <c r="I1311" s="3" t="s">
        <v>7043</v>
      </c>
      <c r="J1311" s="3"/>
      <c r="K1311" s="3"/>
      <c r="L1311" s="5"/>
    </row>
    <row r="1312" spans="1:12" ht="28.8" x14ac:dyDescent="0.55000000000000004">
      <c r="A1312" s="9" t="str">
        <f>HYPERLINK("PDF\FOIA-FWS-2020-00724-0001311.pdf","FOIA-FWS-2020-00724-0001311")</f>
        <v>FOIA-FWS-2020-00724-0001311</v>
      </c>
      <c r="B1312" s="3" t="s">
        <v>2397</v>
      </c>
      <c r="C1312" s="3" t="s">
        <v>3</v>
      </c>
      <c r="D1312" s="3" t="s">
        <v>38</v>
      </c>
      <c r="E1312" s="3" t="s">
        <v>2398</v>
      </c>
      <c r="F1312" s="4">
        <v>43528</v>
      </c>
      <c r="G1312" s="3"/>
      <c r="H1312" s="3"/>
      <c r="I1312" s="3" t="s">
        <v>7043</v>
      </c>
      <c r="J1312" s="3"/>
      <c r="K1312" s="3"/>
      <c r="L1312" s="5"/>
    </row>
    <row r="1313" spans="1:12" ht="28.8" x14ac:dyDescent="0.55000000000000004">
      <c r="A1313" s="9" t="str">
        <f>HYPERLINK("PDF\FOIA-FWS-2020-00724-0001312.pdf","FOIA-FWS-2020-00724-0001312")</f>
        <v>FOIA-FWS-2020-00724-0001312</v>
      </c>
      <c r="B1313" s="3" t="s">
        <v>2399</v>
      </c>
      <c r="C1313" s="3" t="s">
        <v>3</v>
      </c>
      <c r="D1313" s="3" t="s">
        <v>38</v>
      </c>
      <c r="E1313" s="3" t="s">
        <v>2400</v>
      </c>
      <c r="F1313" s="4">
        <v>43528</v>
      </c>
      <c r="G1313" s="3"/>
      <c r="H1313" s="3"/>
      <c r="I1313" s="3" t="s">
        <v>7043</v>
      </c>
      <c r="J1313" s="3"/>
      <c r="K1313" s="3"/>
      <c r="L1313" s="5"/>
    </row>
    <row r="1314" spans="1:12" ht="28.8" x14ac:dyDescent="0.55000000000000004">
      <c r="A1314" s="9" t="str">
        <f>HYPERLINK("PDF\FOIA-FWS-2020-00724-0001313.pdf","FOIA-FWS-2020-00724-0001313")</f>
        <v>FOIA-FWS-2020-00724-0001313</v>
      </c>
      <c r="B1314" s="3" t="s">
        <v>2401</v>
      </c>
      <c r="C1314" s="3" t="s">
        <v>3</v>
      </c>
      <c r="D1314" s="3" t="s">
        <v>38</v>
      </c>
      <c r="E1314" s="3" t="s">
        <v>2402</v>
      </c>
      <c r="F1314" s="4">
        <v>43528</v>
      </c>
      <c r="G1314" s="3"/>
      <c r="H1314" s="3"/>
      <c r="I1314" s="3" t="s">
        <v>7043</v>
      </c>
      <c r="J1314" s="3"/>
      <c r="K1314" s="3"/>
      <c r="L1314" s="5"/>
    </row>
    <row r="1315" spans="1:12" ht="28.8" x14ac:dyDescent="0.55000000000000004">
      <c r="A1315" s="9" t="str">
        <f>HYPERLINK("PDF\FOIA-FWS-2020-00724-0001314.pdf","FOIA-FWS-2020-00724-0001314")</f>
        <v>FOIA-FWS-2020-00724-0001314</v>
      </c>
      <c r="B1315" s="3" t="s">
        <v>2403</v>
      </c>
      <c r="C1315" s="3" t="s">
        <v>3</v>
      </c>
      <c r="D1315" s="3" t="s">
        <v>38</v>
      </c>
      <c r="E1315" s="3" t="s">
        <v>2404</v>
      </c>
      <c r="F1315" s="4">
        <v>43528</v>
      </c>
      <c r="G1315" s="3"/>
      <c r="H1315" s="3"/>
      <c r="I1315" s="3" t="s">
        <v>7043</v>
      </c>
      <c r="J1315" s="3"/>
      <c r="K1315" s="3"/>
      <c r="L1315" s="5"/>
    </row>
    <row r="1316" spans="1:12" ht="28.8" x14ac:dyDescent="0.55000000000000004">
      <c r="A1316" s="9" t="str">
        <f>HYPERLINK("PDF\FOIA-FWS-2020-00724-0001315.pdf","FOIA-FWS-2020-00724-0001315")</f>
        <v>FOIA-FWS-2020-00724-0001315</v>
      </c>
      <c r="B1316" s="3" t="s">
        <v>2405</v>
      </c>
      <c r="C1316" s="3" t="s">
        <v>3</v>
      </c>
      <c r="D1316" s="3" t="s">
        <v>38</v>
      </c>
      <c r="E1316" s="3" t="s">
        <v>2406</v>
      </c>
      <c r="F1316" s="4">
        <v>43528</v>
      </c>
      <c r="G1316" s="3"/>
      <c r="H1316" s="3"/>
      <c r="I1316" s="3" t="s">
        <v>7043</v>
      </c>
      <c r="J1316" s="3"/>
      <c r="K1316" s="3"/>
      <c r="L1316" s="5"/>
    </row>
    <row r="1317" spans="1:12" ht="28.8" x14ac:dyDescent="0.55000000000000004">
      <c r="A1317" s="9" t="str">
        <f>HYPERLINK("PDF\FOIA-FWS-2020-00724-0001316.pdf","FOIA-FWS-2020-00724-0001316")</f>
        <v>FOIA-FWS-2020-00724-0001316</v>
      </c>
      <c r="B1317" s="3" t="s">
        <v>2407</v>
      </c>
      <c r="C1317" s="3" t="s">
        <v>3</v>
      </c>
      <c r="D1317" s="3" t="s">
        <v>38</v>
      </c>
      <c r="E1317" s="3" t="s">
        <v>2408</v>
      </c>
      <c r="F1317" s="4">
        <v>43528</v>
      </c>
      <c r="G1317" s="3"/>
      <c r="H1317" s="3"/>
      <c r="I1317" s="3" t="s">
        <v>7043</v>
      </c>
      <c r="J1317" s="3"/>
      <c r="K1317" s="3"/>
      <c r="L1317" s="5"/>
    </row>
    <row r="1318" spans="1:12" ht="28.8" x14ac:dyDescent="0.55000000000000004">
      <c r="A1318" s="9" t="str">
        <f>HYPERLINK("PDF\FOIA-FWS-2020-00724-0001317.pdf","FOIA-FWS-2020-00724-0001317")</f>
        <v>FOIA-FWS-2020-00724-0001317</v>
      </c>
      <c r="B1318" s="3" t="s">
        <v>2409</v>
      </c>
      <c r="C1318" s="3" t="s">
        <v>3</v>
      </c>
      <c r="D1318" s="3" t="s">
        <v>38</v>
      </c>
      <c r="E1318" s="3" t="s">
        <v>2410</v>
      </c>
      <c r="F1318" s="4">
        <v>43528</v>
      </c>
      <c r="G1318" s="3"/>
      <c r="H1318" s="3"/>
      <c r="I1318" s="3" t="s">
        <v>7043</v>
      </c>
      <c r="J1318" s="3"/>
      <c r="K1318" s="3"/>
      <c r="L1318" s="5"/>
    </row>
    <row r="1319" spans="1:12" ht="28.8" x14ac:dyDescent="0.55000000000000004">
      <c r="A1319" s="9" t="str">
        <f>HYPERLINK("PDF\FOIA-FWS-2020-00724-0001318.pdf","FOIA-FWS-2020-00724-0001318")</f>
        <v>FOIA-FWS-2020-00724-0001318</v>
      </c>
      <c r="B1319" s="3" t="s">
        <v>2411</v>
      </c>
      <c r="C1319" s="3" t="s">
        <v>3</v>
      </c>
      <c r="D1319" s="3" t="s">
        <v>38</v>
      </c>
      <c r="E1319" s="3" t="s">
        <v>2412</v>
      </c>
      <c r="F1319" s="4">
        <v>43528</v>
      </c>
      <c r="G1319" s="3"/>
      <c r="H1319" s="3"/>
      <c r="I1319" s="3" t="s">
        <v>7043</v>
      </c>
      <c r="J1319" s="3"/>
      <c r="K1319" s="3"/>
      <c r="L1319" s="5"/>
    </row>
    <row r="1320" spans="1:12" ht="28.8" x14ac:dyDescent="0.55000000000000004">
      <c r="A1320" s="9" t="str">
        <f>HYPERLINK("PDF\FOIA-FWS-2020-00724-0001319.pdf","FOIA-FWS-2020-00724-0001319")</f>
        <v>FOIA-FWS-2020-00724-0001319</v>
      </c>
      <c r="B1320" s="3" t="s">
        <v>2413</v>
      </c>
      <c r="C1320" s="3" t="s">
        <v>3</v>
      </c>
      <c r="D1320" s="3" t="s">
        <v>38</v>
      </c>
      <c r="E1320" s="3" t="s">
        <v>2414</v>
      </c>
      <c r="F1320" s="4">
        <v>43528</v>
      </c>
      <c r="G1320" s="3"/>
      <c r="H1320" s="3"/>
      <c r="I1320" s="3" t="s">
        <v>7043</v>
      </c>
      <c r="J1320" s="3"/>
      <c r="K1320" s="3"/>
      <c r="L1320" s="5"/>
    </row>
    <row r="1321" spans="1:12" ht="28.8" x14ac:dyDescent="0.55000000000000004">
      <c r="A1321" s="9" t="str">
        <f>HYPERLINK("PDF\FOIA-FWS-2020-00724-0001320.pdf","FOIA-FWS-2020-00724-0001320")</f>
        <v>FOIA-FWS-2020-00724-0001320</v>
      </c>
      <c r="B1321" s="3" t="s">
        <v>2415</v>
      </c>
      <c r="C1321" s="3" t="s">
        <v>3</v>
      </c>
      <c r="D1321" s="3" t="s">
        <v>38</v>
      </c>
      <c r="E1321" s="3" t="s">
        <v>2416</v>
      </c>
      <c r="F1321" s="4">
        <v>43528</v>
      </c>
      <c r="G1321" s="3"/>
      <c r="H1321" s="3"/>
      <c r="I1321" s="3" t="s">
        <v>7043</v>
      </c>
      <c r="J1321" s="3"/>
      <c r="K1321" s="3"/>
      <c r="L1321" s="5"/>
    </row>
    <row r="1322" spans="1:12" ht="28.8" x14ac:dyDescent="0.55000000000000004">
      <c r="A1322" s="9" t="str">
        <f>HYPERLINK("PDF\FOIA-FWS-2020-00724-0001321.pdf","FOIA-FWS-2020-00724-0001321")</f>
        <v>FOIA-FWS-2020-00724-0001321</v>
      </c>
      <c r="B1322" s="3" t="s">
        <v>2417</v>
      </c>
      <c r="C1322" s="3" t="s">
        <v>3</v>
      </c>
      <c r="D1322" s="3" t="s">
        <v>38</v>
      </c>
      <c r="E1322" s="3" t="s">
        <v>2418</v>
      </c>
      <c r="F1322" s="4">
        <v>43528</v>
      </c>
      <c r="G1322" s="3"/>
      <c r="H1322" s="3"/>
      <c r="I1322" s="3" t="s">
        <v>7043</v>
      </c>
      <c r="J1322" s="3"/>
      <c r="K1322" s="3"/>
      <c r="L1322" s="5"/>
    </row>
    <row r="1323" spans="1:12" ht="28.8" x14ac:dyDescent="0.55000000000000004">
      <c r="A1323" s="9" t="str">
        <f>HYPERLINK("PDF\FOIA-FWS-2020-00724-0001322.pdf","FOIA-FWS-2020-00724-0001322")</f>
        <v>FOIA-FWS-2020-00724-0001322</v>
      </c>
      <c r="B1323" s="3" t="s">
        <v>2419</v>
      </c>
      <c r="C1323" s="3" t="s">
        <v>3</v>
      </c>
      <c r="D1323" s="3" t="s">
        <v>38</v>
      </c>
      <c r="E1323" s="3" t="s">
        <v>2420</v>
      </c>
      <c r="F1323" s="4">
        <v>43528</v>
      </c>
      <c r="G1323" s="3"/>
      <c r="H1323" s="3"/>
      <c r="I1323" s="3" t="s">
        <v>7043</v>
      </c>
      <c r="J1323" s="3"/>
      <c r="K1323" s="3"/>
      <c r="L1323" s="5"/>
    </row>
    <row r="1324" spans="1:12" ht="28.8" x14ac:dyDescent="0.55000000000000004">
      <c r="A1324" s="9" t="str">
        <f>HYPERLINK("PDF\FOIA-FWS-2020-00724-0001323.pdf","FOIA-FWS-2020-00724-0001323")</f>
        <v>FOIA-FWS-2020-00724-0001323</v>
      </c>
      <c r="B1324" s="3" t="s">
        <v>2421</v>
      </c>
      <c r="C1324" s="3" t="s">
        <v>3</v>
      </c>
      <c r="D1324" s="3" t="s">
        <v>38</v>
      </c>
      <c r="E1324" s="3" t="s">
        <v>2422</v>
      </c>
      <c r="F1324" s="4">
        <v>43528</v>
      </c>
      <c r="G1324" s="3"/>
      <c r="H1324" s="3"/>
      <c r="I1324" s="3" t="s">
        <v>7043</v>
      </c>
      <c r="J1324" s="3"/>
      <c r="K1324" s="3"/>
      <c r="L1324" s="5"/>
    </row>
    <row r="1325" spans="1:12" ht="28.8" x14ac:dyDescent="0.55000000000000004">
      <c r="A1325" s="9" t="str">
        <f>HYPERLINK("PDF\FOIA-FWS-2020-00724-0001324.pdf","FOIA-FWS-2020-00724-0001324")</f>
        <v>FOIA-FWS-2020-00724-0001324</v>
      </c>
      <c r="B1325" s="3" t="s">
        <v>2423</v>
      </c>
      <c r="C1325" s="3" t="s">
        <v>3</v>
      </c>
      <c r="D1325" s="3" t="s">
        <v>38</v>
      </c>
      <c r="E1325" s="3" t="s">
        <v>2424</v>
      </c>
      <c r="F1325" s="4">
        <v>43528</v>
      </c>
      <c r="G1325" s="3"/>
      <c r="H1325" s="3"/>
      <c r="I1325" s="3" t="s">
        <v>7043</v>
      </c>
      <c r="J1325" s="3"/>
      <c r="K1325" s="3"/>
      <c r="L1325" s="5"/>
    </row>
    <row r="1326" spans="1:12" ht="28.8" x14ac:dyDescent="0.55000000000000004">
      <c r="A1326" s="9" t="str">
        <f>HYPERLINK("PDF\FOIA-FWS-2020-00724-0001325.pdf","FOIA-FWS-2020-00724-0001325")</f>
        <v>FOIA-FWS-2020-00724-0001325</v>
      </c>
      <c r="B1326" s="3" t="s">
        <v>2425</v>
      </c>
      <c r="C1326" s="3" t="s">
        <v>3</v>
      </c>
      <c r="D1326" s="3" t="s">
        <v>38</v>
      </c>
      <c r="E1326" s="3" t="s">
        <v>2426</v>
      </c>
      <c r="F1326" s="4">
        <v>43528</v>
      </c>
      <c r="G1326" s="3"/>
      <c r="H1326" s="3"/>
      <c r="I1326" s="3" t="s">
        <v>7043</v>
      </c>
      <c r="J1326" s="3"/>
      <c r="K1326" s="3"/>
      <c r="L1326" s="5"/>
    </row>
    <row r="1327" spans="1:12" ht="28.8" x14ac:dyDescent="0.55000000000000004">
      <c r="A1327" s="9" t="str">
        <f>HYPERLINK("PDF\FOIA-FWS-2020-00724-0001326.pdf","FOIA-FWS-2020-00724-0001326")</f>
        <v>FOIA-FWS-2020-00724-0001326</v>
      </c>
      <c r="B1327" s="3" t="s">
        <v>2427</v>
      </c>
      <c r="C1327" s="3" t="s">
        <v>3</v>
      </c>
      <c r="D1327" s="3" t="s">
        <v>38</v>
      </c>
      <c r="E1327" s="3" t="s">
        <v>2428</v>
      </c>
      <c r="F1327" s="4">
        <v>43528</v>
      </c>
      <c r="G1327" s="3"/>
      <c r="H1327" s="3"/>
      <c r="I1327" s="3" t="s">
        <v>7043</v>
      </c>
      <c r="J1327" s="3"/>
      <c r="K1327" s="3"/>
      <c r="L1327" s="5"/>
    </row>
    <row r="1328" spans="1:12" ht="28.8" x14ac:dyDescent="0.55000000000000004">
      <c r="A1328" s="9" t="str">
        <f>HYPERLINK("PDF\FOIA-FWS-2020-00724-0001327.pdf","FOIA-FWS-2020-00724-0001327")</f>
        <v>FOIA-FWS-2020-00724-0001327</v>
      </c>
      <c r="B1328" s="3" t="s">
        <v>2429</v>
      </c>
      <c r="C1328" s="3" t="s">
        <v>3</v>
      </c>
      <c r="D1328" s="3" t="s">
        <v>38</v>
      </c>
      <c r="E1328" s="3" t="s">
        <v>2430</v>
      </c>
      <c r="F1328" s="4">
        <v>43528</v>
      </c>
      <c r="G1328" s="3"/>
      <c r="H1328" s="3"/>
      <c r="I1328" s="3" t="s">
        <v>7043</v>
      </c>
      <c r="J1328" s="3"/>
      <c r="K1328" s="3"/>
      <c r="L1328" s="5"/>
    </row>
    <row r="1329" spans="1:12" ht="28.8" x14ac:dyDescent="0.55000000000000004">
      <c r="A1329" s="9" t="str">
        <f>HYPERLINK("PDF\FOIA-FWS-2020-00724-0001328.pdf","FOIA-FWS-2020-00724-0001328")</f>
        <v>FOIA-FWS-2020-00724-0001328</v>
      </c>
      <c r="B1329" s="3" t="s">
        <v>2431</v>
      </c>
      <c r="C1329" s="3" t="s">
        <v>3</v>
      </c>
      <c r="D1329" s="3" t="s">
        <v>38</v>
      </c>
      <c r="E1329" s="3" t="s">
        <v>2432</v>
      </c>
      <c r="F1329" s="4">
        <v>43528</v>
      </c>
      <c r="G1329" s="3"/>
      <c r="H1329" s="3"/>
      <c r="I1329" s="3" t="s">
        <v>7043</v>
      </c>
      <c r="J1329" s="3"/>
      <c r="K1329" s="3"/>
      <c r="L1329" s="5"/>
    </row>
    <row r="1330" spans="1:12" ht="28.8" x14ac:dyDescent="0.55000000000000004">
      <c r="A1330" s="9" t="str">
        <f>HYPERLINK("PDF\FOIA-FWS-2020-00724-0001329.pdf","FOIA-FWS-2020-00724-0001329")</f>
        <v>FOIA-FWS-2020-00724-0001329</v>
      </c>
      <c r="B1330" s="3" t="s">
        <v>2433</v>
      </c>
      <c r="C1330" s="3" t="s">
        <v>3</v>
      </c>
      <c r="D1330" s="3" t="s">
        <v>38</v>
      </c>
      <c r="E1330" s="3" t="s">
        <v>2434</v>
      </c>
      <c r="F1330" s="4">
        <v>43528</v>
      </c>
      <c r="G1330" s="3"/>
      <c r="H1330" s="3"/>
      <c r="I1330" s="3" t="s">
        <v>7043</v>
      </c>
      <c r="J1330" s="3"/>
      <c r="K1330" s="3"/>
      <c r="L1330" s="5"/>
    </row>
    <row r="1331" spans="1:12" ht="28.8" x14ac:dyDescent="0.55000000000000004">
      <c r="A1331" s="9" t="str">
        <f>HYPERLINK("PDF\FOIA-FWS-2020-00724-0001330.pdf","FOIA-FWS-2020-00724-0001330")</f>
        <v>FOIA-FWS-2020-00724-0001330</v>
      </c>
      <c r="B1331" s="3" t="s">
        <v>2435</v>
      </c>
      <c r="C1331" s="3" t="s">
        <v>3</v>
      </c>
      <c r="D1331" s="3" t="s">
        <v>38</v>
      </c>
      <c r="E1331" s="3" t="s">
        <v>2436</v>
      </c>
      <c r="F1331" s="4">
        <v>43528</v>
      </c>
      <c r="G1331" s="3"/>
      <c r="H1331" s="3"/>
      <c r="I1331" s="3" t="s">
        <v>7043</v>
      </c>
      <c r="J1331" s="3"/>
      <c r="K1331" s="3"/>
      <c r="L1331" s="5"/>
    </row>
    <row r="1332" spans="1:12" ht="28.8" x14ac:dyDescent="0.55000000000000004">
      <c r="A1332" s="9" t="str">
        <f>HYPERLINK("PDF\FOIA-FWS-2020-00724-0001331.pdf","FOIA-FWS-2020-00724-0001331")</f>
        <v>FOIA-FWS-2020-00724-0001331</v>
      </c>
      <c r="B1332" s="3" t="s">
        <v>2437</v>
      </c>
      <c r="C1332" s="3" t="s">
        <v>3</v>
      </c>
      <c r="D1332" s="3" t="s">
        <v>38</v>
      </c>
      <c r="E1332" s="3" t="s">
        <v>2438</v>
      </c>
      <c r="F1332" s="4">
        <v>43528</v>
      </c>
      <c r="G1332" s="3"/>
      <c r="H1332" s="3"/>
      <c r="I1332" s="3" t="s">
        <v>7043</v>
      </c>
      <c r="J1332" s="3"/>
      <c r="K1332" s="3"/>
      <c r="L1332" s="5"/>
    </row>
    <row r="1333" spans="1:12" ht="28.8" x14ac:dyDescent="0.55000000000000004">
      <c r="A1333" s="9" t="str">
        <f>HYPERLINK("PDF\FOIA-FWS-2020-00724-0001332.pdf","FOIA-FWS-2020-00724-0001332")</f>
        <v>FOIA-FWS-2020-00724-0001332</v>
      </c>
      <c r="B1333" s="3" t="s">
        <v>2439</v>
      </c>
      <c r="C1333" s="3" t="s">
        <v>3</v>
      </c>
      <c r="D1333" s="3" t="s">
        <v>38</v>
      </c>
      <c r="E1333" s="3" t="s">
        <v>2440</v>
      </c>
      <c r="F1333" s="4">
        <v>43528</v>
      </c>
      <c r="G1333" s="3"/>
      <c r="H1333" s="3"/>
      <c r="I1333" s="3" t="s">
        <v>7043</v>
      </c>
      <c r="J1333" s="3"/>
      <c r="K1333" s="3"/>
      <c r="L1333" s="5"/>
    </row>
    <row r="1334" spans="1:12" ht="28.8" x14ac:dyDescent="0.55000000000000004">
      <c r="A1334" s="9" t="str">
        <f>HYPERLINK("PDF\FOIA-FWS-2020-00724-0001333.pdf","FOIA-FWS-2020-00724-0001333")</f>
        <v>FOIA-FWS-2020-00724-0001333</v>
      </c>
      <c r="B1334" s="3" t="s">
        <v>2441</v>
      </c>
      <c r="C1334" s="3" t="s">
        <v>3</v>
      </c>
      <c r="D1334" s="3" t="s">
        <v>38</v>
      </c>
      <c r="E1334" s="3" t="s">
        <v>2442</v>
      </c>
      <c r="F1334" s="4">
        <v>43528</v>
      </c>
      <c r="G1334" s="3"/>
      <c r="H1334" s="3"/>
      <c r="I1334" s="3" t="s">
        <v>7043</v>
      </c>
      <c r="J1334" s="3"/>
      <c r="K1334" s="3"/>
      <c r="L1334" s="5"/>
    </row>
    <row r="1335" spans="1:12" ht="28.8" x14ac:dyDescent="0.55000000000000004">
      <c r="A1335" s="9" t="str">
        <f>HYPERLINK("PDF\FOIA-FWS-2020-00724-0001334.pdf","FOIA-FWS-2020-00724-0001334")</f>
        <v>FOIA-FWS-2020-00724-0001334</v>
      </c>
      <c r="B1335" s="3" t="s">
        <v>2443</v>
      </c>
      <c r="C1335" s="3" t="s">
        <v>3</v>
      </c>
      <c r="D1335" s="3" t="s">
        <v>38</v>
      </c>
      <c r="E1335" s="3" t="s">
        <v>2444</v>
      </c>
      <c r="F1335" s="4">
        <v>43528</v>
      </c>
      <c r="G1335" s="3"/>
      <c r="H1335" s="3"/>
      <c r="I1335" s="3" t="s">
        <v>7043</v>
      </c>
      <c r="J1335" s="3"/>
      <c r="K1335" s="3"/>
      <c r="L1335" s="5"/>
    </row>
    <row r="1336" spans="1:12" ht="28.8" x14ac:dyDescent="0.55000000000000004">
      <c r="A1336" s="9" t="str">
        <f>HYPERLINK("PDF\FOIA-FWS-2020-00724-0001335.pdf","FOIA-FWS-2020-00724-0001335")</f>
        <v>FOIA-FWS-2020-00724-0001335</v>
      </c>
      <c r="B1336" s="3" t="s">
        <v>2445</v>
      </c>
      <c r="C1336" s="3" t="s">
        <v>3</v>
      </c>
      <c r="D1336" s="3" t="s">
        <v>38</v>
      </c>
      <c r="E1336" s="3" t="s">
        <v>2446</v>
      </c>
      <c r="F1336" s="4">
        <v>43528</v>
      </c>
      <c r="G1336" s="3"/>
      <c r="H1336" s="3"/>
      <c r="I1336" s="3" t="s">
        <v>7043</v>
      </c>
      <c r="J1336" s="3"/>
      <c r="K1336" s="3"/>
      <c r="L1336" s="5"/>
    </row>
    <row r="1337" spans="1:12" ht="28.8" x14ac:dyDescent="0.55000000000000004">
      <c r="A1337" s="9" t="str">
        <f>HYPERLINK("PDF\FOIA-FWS-2020-00724-0001336.pdf","FOIA-FWS-2020-00724-0001336")</f>
        <v>FOIA-FWS-2020-00724-0001336</v>
      </c>
      <c r="B1337" s="3" t="s">
        <v>2447</v>
      </c>
      <c r="C1337" s="3" t="s">
        <v>3</v>
      </c>
      <c r="D1337" s="3" t="s">
        <v>33</v>
      </c>
      <c r="E1337" s="3" t="s">
        <v>2448</v>
      </c>
      <c r="F1337" s="4">
        <v>43528</v>
      </c>
      <c r="G1337" s="3"/>
      <c r="H1337" s="3"/>
      <c r="I1337" s="3" t="s">
        <v>7043</v>
      </c>
      <c r="J1337" s="3"/>
      <c r="K1337" s="3"/>
      <c r="L1337" s="5"/>
    </row>
    <row r="1338" spans="1:12" ht="28.8" x14ac:dyDescent="0.55000000000000004">
      <c r="A1338" s="9" t="str">
        <f>HYPERLINK("PDF\FOIA-FWS-2020-00724-0001337.pdf","FOIA-FWS-2020-00724-0001337")</f>
        <v>FOIA-FWS-2020-00724-0001337</v>
      </c>
      <c r="B1338" s="3" t="s">
        <v>2449</v>
      </c>
      <c r="C1338" s="3" t="s">
        <v>3</v>
      </c>
      <c r="D1338" s="3" t="s">
        <v>274</v>
      </c>
      <c r="E1338" s="3" t="s">
        <v>2450</v>
      </c>
      <c r="F1338" s="4">
        <v>43528</v>
      </c>
      <c r="G1338" s="3"/>
      <c r="H1338" s="3"/>
      <c r="I1338" s="3" t="s">
        <v>7043</v>
      </c>
      <c r="J1338" s="3"/>
      <c r="K1338" s="3"/>
      <c r="L1338" s="5"/>
    </row>
    <row r="1339" spans="1:12" ht="28.8" x14ac:dyDescent="0.55000000000000004">
      <c r="A1339" s="9" t="str">
        <f>HYPERLINK("PDF\FOIA-FWS-2020-00724-0001338.pdf","FOIA-FWS-2020-00724-0001338")</f>
        <v>FOIA-FWS-2020-00724-0001338</v>
      </c>
      <c r="B1339" s="3" t="s">
        <v>2451</v>
      </c>
      <c r="C1339" s="3" t="s">
        <v>3</v>
      </c>
      <c r="D1339" s="3" t="s">
        <v>38</v>
      </c>
      <c r="E1339" s="3" t="s">
        <v>2452</v>
      </c>
      <c r="F1339" s="4">
        <v>43528</v>
      </c>
      <c r="G1339" s="3"/>
      <c r="H1339" s="3"/>
      <c r="I1339" s="3" t="s">
        <v>7043</v>
      </c>
      <c r="J1339" s="3"/>
      <c r="K1339" s="3"/>
      <c r="L1339" s="5"/>
    </row>
    <row r="1340" spans="1:12" ht="28.8" x14ac:dyDescent="0.55000000000000004">
      <c r="A1340" s="9" t="str">
        <f>HYPERLINK("PDF\FOIA-FWS-2020-00724-0001339.pdf","FOIA-FWS-2020-00724-0001339")</f>
        <v>FOIA-FWS-2020-00724-0001339</v>
      </c>
      <c r="B1340" s="3" t="s">
        <v>2453</v>
      </c>
      <c r="C1340" s="3" t="s">
        <v>3</v>
      </c>
      <c r="D1340" s="3" t="s">
        <v>38</v>
      </c>
      <c r="E1340" s="3" t="s">
        <v>2454</v>
      </c>
      <c r="F1340" s="4">
        <v>43528</v>
      </c>
      <c r="G1340" s="3"/>
      <c r="H1340" s="3"/>
      <c r="I1340" s="3" t="s">
        <v>7043</v>
      </c>
      <c r="J1340" s="3"/>
      <c r="K1340" s="3"/>
      <c r="L1340" s="5"/>
    </row>
    <row r="1341" spans="1:12" ht="28.8" x14ac:dyDescent="0.55000000000000004">
      <c r="A1341" s="9" t="str">
        <f>HYPERLINK("PDF\FOIA-FWS-2020-00724-0001340.pdf","FOIA-FWS-2020-00724-0001340")</f>
        <v>FOIA-FWS-2020-00724-0001340</v>
      </c>
      <c r="B1341" s="3" t="s">
        <v>2455</v>
      </c>
      <c r="C1341" s="3" t="s">
        <v>3</v>
      </c>
      <c r="D1341" s="3" t="s">
        <v>33</v>
      </c>
      <c r="E1341" s="3" t="s">
        <v>2456</v>
      </c>
      <c r="F1341" s="4">
        <v>43528.563194444447</v>
      </c>
      <c r="G1341" s="3" t="s">
        <v>938</v>
      </c>
      <c r="H1341" s="3" t="s">
        <v>872</v>
      </c>
      <c r="I1341" s="3" t="s">
        <v>7043</v>
      </c>
      <c r="J1341" s="3"/>
      <c r="K1341" s="3"/>
      <c r="L1341" s="5"/>
    </row>
    <row r="1342" spans="1:12" ht="28.8" x14ac:dyDescent="0.55000000000000004">
      <c r="A1342" s="9" t="str">
        <f>HYPERLINK("PDF\FOIA-FWS-2020-00724-0001341.pdf","FOIA-FWS-2020-00724-0001341")</f>
        <v>FOIA-FWS-2020-00724-0001341</v>
      </c>
      <c r="B1342" s="3" t="s">
        <v>2455</v>
      </c>
      <c r="C1342" s="3" t="s">
        <v>234</v>
      </c>
      <c r="D1342" s="3" t="s">
        <v>160</v>
      </c>
      <c r="E1342" s="3" t="s">
        <v>2457</v>
      </c>
      <c r="F1342" s="4">
        <v>43528.563194444447</v>
      </c>
      <c r="G1342" s="3"/>
      <c r="H1342" s="3"/>
      <c r="I1342" s="3" t="s">
        <v>7043</v>
      </c>
      <c r="J1342" s="3"/>
      <c r="K1342" s="3"/>
      <c r="L1342" s="5" t="str">
        <f>HYPERLINK("NATIVE_FILES\FOIA-FWS-2020-00724-0001341.dbf","FOIA-FWS-2020-00724-0001341.dbf")</f>
        <v>FOIA-FWS-2020-00724-0001341.dbf</v>
      </c>
    </row>
    <row r="1343" spans="1:12" ht="28.8" x14ac:dyDescent="0.55000000000000004">
      <c r="A1343" s="9" t="str">
        <f>HYPERLINK("PDF\FOIA-FWS-2020-00724-0001342.pdf","FOIA-FWS-2020-00724-0001342")</f>
        <v>FOIA-FWS-2020-00724-0001342</v>
      </c>
      <c r="B1343" s="3" t="s">
        <v>2455</v>
      </c>
      <c r="C1343" s="3" t="s">
        <v>234</v>
      </c>
      <c r="D1343" s="3" t="s">
        <v>160</v>
      </c>
      <c r="E1343" s="3" t="s">
        <v>2458</v>
      </c>
      <c r="F1343" s="4">
        <v>43528.563194444447</v>
      </c>
      <c r="G1343" s="3"/>
      <c r="H1343" s="3"/>
      <c r="I1343" s="3" t="s">
        <v>7043</v>
      </c>
      <c r="J1343" s="3"/>
      <c r="K1343" s="3"/>
      <c r="L1343" s="5" t="str">
        <f>HYPERLINK("NATIVE_FILES\FOIA-FWS-2020-00724-0001342.prj","FOIA-FWS-2020-00724-0001342.prj")</f>
        <v>FOIA-FWS-2020-00724-0001342.prj</v>
      </c>
    </row>
    <row r="1344" spans="1:12" ht="28.8" x14ac:dyDescent="0.55000000000000004">
      <c r="A1344" s="9" t="str">
        <f>HYPERLINK("PDF\FOIA-FWS-2020-00724-0001343.pdf","FOIA-FWS-2020-00724-0001343")</f>
        <v>FOIA-FWS-2020-00724-0001343</v>
      </c>
      <c r="B1344" s="3" t="s">
        <v>2455</v>
      </c>
      <c r="C1344" s="3" t="s">
        <v>234</v>
      </c>
      <c r="D1344" s="3" t="s">
        <v>160</v>
      </c>
      <c r="E1344" s="3" t="s">
        <v>2459</v>
      </c>
      <c r="F1344" s="4">
        <v>43528.563194444447</v>
      </c>
      <c r="G1344" s="3"/>
      <c r="H1344" s="3"/>
      <c r="I1344" s="3" t="s">
        <v>7043</v>
      </c>
      <c r="J1344" s="3"/>
      <c r="K1344" s="3"/>
      <c r="L1344" s="5" t="str">
        <f>HYPERLINK("NATIVE_FILES\FOIA-FWS-2020-00724-0001343.sbn","FOIA-FWS-2020-00724-0001343.sbn")</f>
        <v>FOIA-FWS-2020-00724-0001343.sbn</v>
      </c>
    </row>
    <row r="1345" spans="1:12" ht="28.8" x14ac:dyDescent="0.55000000000000004">
      <c r="A1345" s="9" t="str">
        <f>HYPERLINK("PDF\FOIA-FWS-2020-00724-0001344.pdf","FOIA-FWS-2020-00724-0001344")</f>
        <v>FOIA-FWS-2020-00724-0001344</v>
      </c>
      <c r="B1345" s="3" t="s">
        <v>2455</v>
      </c>
      <c r="C1345" s="3" t="s">
        <v>234</v>
      </c>
      <c r="D1345" s="3" t="s">
        <v>160</v>
      </c>
      <c r="E1345" s="3" t="s">
        <v>2460</v>
      </c>
      <c r="F1345" s="4">
        <v>43528.563194444447</v>
      </c>
      <c r="G1345" s="3"/>
      <c r="H1345" s="3"/>
      <c r="I1345" s="3" t="s">
        <v>7043</v>
      </c>
      <c r="J1345" s="3"/>
      <c r="K1345" s="3"/>
      <c r="L1345" s="5" t="str">
        <f>HYPERLINK("NATIVE_FILES\FOIA-FWS-2020-00724-0001344.sbx","FOIA-FWS-2020-00724-0001344.sbx")</f>
        <v>FOIA-FWS-2020-00724-0001344.sbx</v>
      </c>
    </row>
    <row r="1346" spans="1:12" ht="28.8" x14ac:dyDescent="0.55000000000000004">
      <c r="A1346" s="9" t="str">
        <f>HYPERLINK("PDF\FOIA-FWS-2020-00724-0001345.pdf","FOIA-FWS-2020-00724-0001345")</f>
        <v>FOIA-FWS-2020-00724-0001345</v>
      </c>
      <c r="B1346" s="3" t="s">
        <v>2455</v>
      </c>
      <c r="C1346" s="3" t="s">
        <v>234</v>
      </c>
      <c r="D1346" s="3" t="s">
        <v>160</v>
      </c>
      <c r="E1346" s="3" t="s">
        <v>2461</v>
      </c>
      <c r="F1346" s="4">
        <v>43528.563194444447</v>
      </c>
      <c r="G1346" s="3"/>
      <c r="H1346" s="3"/>
      <c r="I1346" s="3" t="s">
        <v>7043</v>
      </c>
      <c r="J1346" s="3"/>
      <c r="K1346" s="3"/>
      <c r="L1346" s="5" t="str">
        <f>HYPERLINK("NATIVE_FILES\FOIA-FWS-2020-00724-0001345.shp","FOIA-FWS-2020-00724-0001345.shp")</f>
        <v>FOIA-FWS-2020-00724-0001345.shp</v>
      </c>
    </row>
    <row r="1347" spans="1:12" ht="28.8" x14ac:dyDescent="0.55000000000000004">
      <c r="A1347" s="9" t="str">
        <f>HYPERLINK("PDF\FOIA-FWS-2020-00724-0001346.pdf","FOIA-FWS-2020-00724-0001346")</f>
        <v>FOIA-FWS-2020-00724-0001346</v>
      </c>
      <c r="B1347" s="3" t="s">
        <v>2455</v>
      </c>
      <c r="C1347" s="3" t="s">
        <v>234</v>
      </c>
      <c r="D1347" s="3" t="s">
        <v>160</v>
      </c>
      <c r="E1347" s="3" t="s">
        <v>2462</v>
      </c>
      <c r="F1347" s="4">
        <v>43528.563194444447</v>
      </c>
      <c r="G1347" s="3"/>
      <c r="H1347" s="3"/>
      <c r="I1347" s="3" t="s">
        <v>7043</v>
      </c>
      <c r="J1347" s="3"/>
      <c r="K1347" s="3"/>
      <c r="L1347" s="5" t="str">
        <f>HYPERLINK("NATIVE_FILES\FOIA-FWS-2020-00724-0001346.xml","FOIA-FWS-2020-00724-0001346.xml")</f>
        <v>FOIA-FWS-2020-00724-0001346.xml</v>
      </c>
    </row>
    <row r="1348" spans="1:12" ht="28.8" x14ac:dyDescent="0.55000000000000004">
      <c r="A1348" s="9" t="str">
        <f>HYPERLINK("PDF\FOIA-FWS-2020-00724-0001347.pdf","FOIA-FWS-2020-00724-0001347")</f>
        <v>FOIA-FWS-2020-00724-0001347</v>
      </c>
      <c r="B1348" s="3" t="s">
        <v>2455</v>
      </c>
      <c r="C1348" s="3" t="s">
        <v>234</v>
      </c>
      <c r="D1348" s="3" t="s">
        <v>160</v>
      </c>
      <c r="E1348" s="3" t="s">
        <v>2463</v>
      </c>
      <c r="F1348" s="4">
        <v>43528.563194444447</v>
      </c>
      <c r="G1348" s="3"/>
      <c r="H1348" s="3"/>
      <c r="I1348" s="3" t="s">
        <v>7043</v>
      </c>
      <c r="J1348" s="3"/>
      <c r="K1348" s="3"/>
      <c r="L1348" s="5" t="str">
        <f>HYPERLINK("NATIVE_FILES\FOIA-FWS-2020-00724-0001347.shx","FOIA-FWS-2020-00724-0001347.shx")</f>
        <v>FOIA-FWS-2020-00724-0001347.shx</v>
      </c>
    </row>
    <row r="1349" spans="1:12" ht="28.8" x14ac:dyDescent="0.55000000000000004">
      <c r="A1349" s="9" t="str">
        <f>HYPERLINK("PDF\FOIA-FWS-2020-00724-0001348.pdf","FOIA-FWS-2020-00724-0001348")</f>
        <v>FOIA-FWS-2020-00724-0001348</v>
      </c>
      <c r="B1349" s="3" t="s">
        <v>2464</v>
      </c>
      <c r="C1349" s="3" t="s">
        <v>3</v>
      </c>
      <c r="D1349" s="3" t="s">
        <v>33</v>
      </c>
      <c r="E1349" s="3" t="s">
        <v>2465</v>
      </c>
      <c r="F1349" s="4">
        <v>43528.566666666666</v>
      </c>
      <c r="G1349" s="3" t="s">
        <v>872</v>
      </c>
      <c r="H1349" s="3" t="s">
        <v>938</v>
      </c>
      <c r="I1349" s="3" t="s">
        <v>7043</v>
      </c>
      <c r="J1349" s="3"/>
      <c r="K1349" s="3"/>
      <c r="L1349" s="5"/>
    </row>
    <row r="1350" spans="1:12" ht="28.8" x14ac:dyDescent="0.55000000000000004">
      <c r="A1350" s="9" t="str">
        <f>HYPERLINK("PDF\FOIA-FWS-2020-00724-0001349.pdf","FOIA-FWS-2020-00724-0001349")</f>
        <v>FOIA-FWS-2020-00724-0001349</v>
      </c>
      <c r="B1350" s="3" t="s">
        <v>2466</v>
      </c>
      <c r="C1350" s="3" t="s">
        <v>3</v>
      </c>
      <c r="D1350" s="3" t="s">
        <v>33</v>
      </c>
      <c r="E1350" s="3" t="s">
        <v>2468</v>
      </c>
      <c r="F1350" s="4">
        <v>43528.614583333336</v>
      </c>
      <c r="G1350" s="3" t="s">
        <v>872</v>
      </c>
      <c r="H1350" s="3" t="s">
        <v>2467</v>
      </c>
      <c r="I1350" s="3" t="s">
        <v>7043</v>
      </c>
      <c r="J1350" s="3"/>
      <c r="K1350" s="3"/>
      <c r="L1350" s="5"/>
    </row>
    <row r="1351" spans="1:12" ht="28.8" x14ac:dyDescent="0.55000000000000004">
      <c r="A1351" s="9" t="str">
        <f>HYPERLINK("PDF\FOIA-FWS-2020-00724-0001350.pdf","FOIA-FWS-2020-00724-0001350")</f>
        <v>FOIA-FWS-2020-00724-0001350</v>
      </c>
      <c r="B1351" s="3" t="s">
        <v>2466</v>
      </c>
      <c r="C1351" s="3" t="s">
        <v>234</v>
      </c>
      <c r="D1351" s="3" t="s">
        <v>160</v>
      </c>
      <c r="E1351" s="3" t="s">
        <v>2457</v>
      </c>
      <c r="F1351" s="4">
        <v>43528.614583333336</v>
      </c>
      <c r="G1351" s="3"/>
      <c r="H1351" s="3"/>
      <c r="I1351" s="3" t="s">
        <v>7043</v>
      </c>
      <c r="J1351" s="3"/>
      <c r="K1351" s="3"/>
      <c r="L1351" s="5" t="str">
        <f>HYPERLINK("NATIVE_FILES\FOIA-FWS-2020-00724-0001350.dbf","FOIA-FWS-2020-00724-0001350.dbf")</f>
        <v>FOIA-FWS-2020-00724-0001350.dbf</v>
      </c>
    </row>
    <row r="1352" spans="1:12" ht="28.8" x14ac:dyDescent="0.55000000000000004">
      <c r="A1352" s="9" t="str">
        <f>HYPERLINK("PDF\FOIA-FWS-2020-00724-0001351.pdf","FOIA-FWS-2020-00724-0001351")</f>
        <v>FOIA-FWS-2020-00724-0001351</v>
      </c>
      <c r="B1352" s="3" t="s">
        <v>2466</v>
      </c>
      <c r="C1352" s="3" t="s">
        <v>234</v>
      </c>
      <c r="D1352" s="3" t="s">
        <v>160</v>
      </c>
      <c r="E1352" s="3" t="s">
        <v>2458</v>
      </c>
      <c r="F1352" s="4">
        <v>43528.614583333336</v>
      </c>
      <c r="G1352" s="3"/>
      <c r="H1352" s="3"/>
      <c r="I1352" s="3" t="s">
        <v>7043</v>
      </c>
      <c r="J1352" s="3"/>
      <c r="K1352" s="3"/>
      <c r="L1352" s="5" t="str">
        <f>HYPERLINK("NATIVE_FILES\FOIA-FWS-2020-00724-0001351.prj","FOIA-FWS-2020-00724-0001351.prj")</f>
        <v>FOIA-FWS-2020-00724-0001351.prj</v>
      </c>
    </row>
    <row r="1353" spans="1:12" ht="28.8" x14ac:dyDescent="0.55000000000000004">
      <c r="A1353" s="9" t="str">
        <f>HYPERLINK("PDF\FOIA-FWS-2020-00724-0001352.pdf","FOIA-FWS-2020-00724-0001352")</f>
        <v>FOIA-FWS-2020-00724-0001352</v>
      </c>
      <c r="B1353" s="3" t="s">
        <v>2466</v>
      </c>
      <c r="C1353" s="3" t="s">
        <v>234</v>
      </c>
      <c r="D1353" s="3" t="s">
        <v>160</v>
      </c>
      <c r="E1353" s="3" t="s">
        <v>2459</v>
      </c>
      <c r="F1353" s="4">
        <v>43528.614583333336</v>
      </c>
      <c r="G1353" s="3"/>
      <c r="H1353" s="3"/>
      <c r="I1353" s="3" t="s">
        <v>7043</v>
      </c>
      <c r="J1353" s="3"/>
      <c r="K1353" s="3"/>
      <c r="L1353" s="5" t="str">
        <f>HYPERLINK("NATIVE_FILES\FOIA-FWS-2020-00724-0001352.sbn","FOIA-FWS-2020-00724-0001352.sbn")</f>
        <v>FOIA-FWS-2020-00724-0001352.sbn</v>
      </c>
    </row>
    <row r="1354" spans="1:12" ht="28.8" x14ac:dyDescent="0.55000000000000004">
      <c r="A1354" s="9" t="str">
        <f>HYPERLINK("PDF\FOIA-FWS-2020-00724-0001353.pdf","FOIA-FWS-2020-00724-0001353")</f>
        <v>FOIA-FWS-2020-00724-0001353</v>
      </c>
      <c r="B1354" s="3" t="s">
        <v>2466</v>
      </c>
      <c r="C1354" s="3" t="s">
        <v>234</v>
      </c>
      <c r="D1354" s="3" t="s">
        <v>160</v>
      </c>
      <c r="E1354" s="3" t="s">
        <v>2460</v>
      </c>
      <c r="F1354" s="4">
        <v>43528.614583333336</v>
      </c>
      <c r="G1354" s="3"/>
      <c r="H1354" s="3"/>
      <c r="I1354" s="3" t="s">
        <v>7043</v>
      </c>
      <c r="J1354" s="3"/>
      <c r="K1354" s="3"/>
      <c r="L1354" s="5" t="str">
        <f>HYPERLINK("NATIVE_FILES\FOIA-FWS-2020-00724-0001353.sbx","FOIA-FWS-2020-00724-0001353.sbx")</f>
        <v>FOIA-FWS-2020-00724-0001353.sbx</v>
      </c>
    </row>
    <row r="1355" spans="1:12" ht="28.8" x14ac:dyDescent="0.55000000000000004">
      <c r="A1355" s="9" t="str">
        <f>HYPERLINK("PDF\FOIA-FWS-2020-00724-0001354.pdf","FOIA-FWS-2020-00724-0001354")</f>
        <v>FOIA-FWS-2020-00724-0001354</v>
      </c>
      <c r="B1355" s="3" t="s">
        <v>2466</v>
      </c>
      <c r="C1355" s="3" t="s">
        <v>234</v>
      </c>
      <c r="D1355" s="3" t="s">
        <v>160</v>
      </c>
      <c r="E1355" s="3" t="s">
        <v>2461</v>
      </c>
      <c r="F1355" s="4">
        <v>43528.614583333336</v>
      </c>
      <c r="G1355" s="3"/>
      <c r="H1355" s="3"/>
      <c r="I1355" s="3" t="s">
        <v>7043</v>
      </c>
      <c r="J1355" s="3"/>
      <c r="K1355" s="3"/>
      <c r="L1355" s="5" t="str">
        <f>HYPERLINK("NATIVE_FILES\FOIA-FWS-2020-00724-0001354.shp","FOIA-FWS-2020-00724-0001354.shp")</f>
        <v>FOIA-FWS-2020-00724-0001354.shp</v>
      </c>
    </row>
    <row r="1356" spans="1:12" ht="28.8" x14ac:dyDescent="0.55000000000000004">
      <c r="A1356" s="9" t="str">
        <f>HYPERLINK("PDF\FOIA-FWS-2020-00724-0001355.pdf","FOIA-FWS-2020-00724-0001355")</f>
        <v>FOIA-FWS-2020-00724-0001355</v>
      </c>
      <c r="B1356" s="3" t="s">
        <v>2466</v>
      </c>
      <c r="C1356" s="3" t="s">
        <v>234</v>
      </c>
      <c r="D1356" s="3" t="s">
        <v>160</v>
      </c>
      <c r="E1356" s="3" t="s">
        <v>2462</v>
      </c>
      <c r="F1356" s="4">
        <v>43528.614583333336</v>
      </c>
      <c r="G1356" s="3"/>
      <c r="H1356" s="3"/>
      <c r="I1356" s="3" t="s">
        <v>7043</v>
      </c>
      <c r="J1356" s="3"/>
      <c r="K1356" s="3"/>
      <c r="L1356" s="5" t="str">
        <f>HYPERLINK("NATIVE_FILES\FOIA-FWS-2020-00724-0001355.xml","FOIA-FWS-2020-00724-0001355.xml")</f>
        <v>FOIA-FWS-2020-00724-0001355.xml</v>
      </c>
    </row>
    <row r="1357" spans="1:12" ht="28.8" x14ac:dyDescent="0.55000000000000004">
      <c r="A1357" s="9" t="str">
        <f>HYPERLINK("PDF\FOIA-FWS-2020-00724-0001356.pdf","FOIA-FWS-2020-00724-0001356")</f>
        <v>FOIA-FWS-2020-00724-0001356</v>
      </c>
      <c r="B1357" s="3" t="s">
        <v>2466</v>
      </c>
      <c r="C1357" s="3" t="s">
        <v>234</v>
      </c>
      <c r="D1357" s="3" t="s">
        <v>160</v>
      </c>
      <c r="E1357" s="3" t="s">
        <v>2463</v>
      </c>
      <c r="F1357" s="4">
        <v>43528.614583333336</v>
      </c>
      <c r="G1357" s="3"/>
      <c r="H1357" s="3"/>
      <c r="I1357" s="3" t="s">
        <v>7043</v>
      </c>
      <c r="J1357" s="3"/>
      <c r="K1357" s="3"/>
      <c r="L1357" s="5" t="str">
        <f>HYPERLINK("NATIVE_FILES\FOIA-FWS-2020-00724-0001356.shx","FOIA-FWS-2020-00724-0001356.shx")</f>
        <v>FOIA-FWS-2020-00724-0001356.shx</v>
      </c>
    </row>
    <row r="1358" spans="1:12" ht="57.6" x14ac:dyDescent="0.55000000000000004">
      <c r="A1358" s="9" t="str">
        <f>HYPERLINK("PDF\FOIA-FWS-2020-00724-0001357.pdf","FOIA-FWS-2020-00724-0001357")</f>
        <v>FOIA-FWS-2020-00724-0001357</v>
      </c>
      <c r="B1358" s="3" t="s">
        <v>2469</v>
      </c>
      <c r="C1358" s="3" t="s">
        <v>3</v>
      </c>
      <c r="D1358" s="3" t="s">
        <v>33</v>
      </c>
      <c r="E1358" s="3" t="s">
        <v>2471</v>
      </c>
      <c r="F1358" s="4">
        <v>43528.723611111112</v>
      </c>
      <c r="G1358" s="3" t="s">
        <v>919</v>
      </c>
      <c r="H1358" s="3" t="s">
        <v>2470</v>
      </c>
      <c r="I1358" s="3" t="s">
        <v>7043</v>
      </c>
      <c r="J1358" s="3"/>
      <c r="K1358" s="3"/>
      <c r="L1358" s="5"/>
    </row>
    <row r="1359" spans="1:12" ht="28.8" x14ac:dyDescent="0.55000000000000004">
      <c r="A1359" s="9" t="str">
        <f>HYPERLINK("PDF\FOIA-FWS-2020-00724-0001358.pdf","FOIA-FWS-2020-00724-0001358")</f>
        <v>FOIA-FWS-2020-00724-0001358</v>
      </c>
      <c r="B1359" s="3" t="s">
        <v>2472</v>
      </c>
      <c r="C1359" s="3" t="s">
        <v>3</v>
      </c>
      <c r="D1359" s="3" t="s">
        <v>33</v>
      </c>
      <c r="E1359" s="3" t="s">
        <v>2094</v>
      </c>
      <c r="F1359" s="4">
        <v>43528.725694444445</v>
      </c>
      <c r="G1359" s="3" t="s">
        <v>955</v>
      </c>
      <c r="H1359" s="3" t="s">
        <v>945</v>
      </c>
      <c r="I1359" s="3" t="s">
        <v>7043</v>
      </c>
      <c r="J1359" s="3"/>
      <c r="K1359" s="3"/>
      <c r="L1359" s="5"/>
    </row>
    <row r="1360" spans="1:12" ht="28.8" x14ac:dyDescent="0.55000000000000004">
      <c r="A1360" s="9" t="str">
        <f>HYPERLINK("PDF\FOIA-FWS-2020-00724-0001359.pdf","FOIA-FWS-2020-00724-0001359")</f>
        <v>FOIA-FWS-2020-00724-0001359</v>
      </c>
      <c r="B1360" s="3" t="s">
        <v>2473</v>
      </c>
      <c r="C1360" s="3" t="s">
        <v>3</v>
      </c>
      <c r="D1360" s="3" t="s">
        <v>33</v>
      </c>
      <c r="E1360" s="3" t="s">
        <v>2474</v>
      </c>
      <c r="F1360" s="4">
        <v>43528.817361111112</v>
      </c>
      <c r="G1360" s="3" t="s">
        <v>2251</v>
      </c>
      <c r="H1360" s="3" t="s">
        <v>1392</v>
      </c>
      <c r="I1360" s="3" t="s">
        <v>7043</v>
      </c>
      <c r="J1360" s="3"/>
      <c r="K1360" s="3"/>
      <c r="L1360" s="5"/>
    </row>
    <row r="1361" spans="1:12" ht="28.8" x14ac:dyDescent="0.55000000000000004">
      <c r="A1361" s="9" t="str">
        <f>HYPERLINK("PDF\FOIA-FWS-2020-00724-0001360.pdf","FOIA-FWS-2020-00724-0001360")</f>
        <v>FOIA-FWS-2020-00724-0001360</v>
      </c>
      <c r="B1361" s="3" t="s">
        <v>2473</v>
      </c>
      <c r="C1361" s="3" t="s">
        <v>234</v>
      </c>
      <c r="D1361" s="3" t="s">
        <v>33</v>
      </c>
      <c r="E1361" s="3" t="s">
        <v>2475</v>
      </c>
      <c r="F1361" s="4">
        <v>43528.817361111112</v>
      </c>
      <c r="G1361" s="3"/>
      <c r="H1361" s="3"/>
      <c r="I1361" s="3" t="s">
        <v>7043</v>
      </c>
      <c r="J1361" s="3"/>
      <c r="K1361" s="3"/>
      <c r="L1361" s="5"/>
    </row>
    <row r="1362" spans="1:12" ht="28.8" x14ac:dyDescent="0.55000000000000004">
      <c r="A1362" s="9" t="str">
        <f>HYPERLINK("PDF\FOIA-FWS-2020-00724-0001361.pdf","FOIA-FWS-2020-00724-0001361")</f>
        <v>FOIA-FWS-2020-00724-0001361</v>
      </c>
      <c r="B1362" s="3" t="s">
        <v>2476</v>
      </c>
      <c r="C1362" s="3" t="s">
        <v>3</v>
      </c>
      <c r="D1362" s="3" t="s">
        <v>38</v>
      </c>
      <c r="E1362" s="3" t="s">
        <v>2477</v>
      </c>
      <c r="F1362" s="4">
        <v>43529</v>
      </c>
      <c r="G1362" s="3"/>
      <c r="H1362" s="3"/>
      <c r="I1362" s="3" t="s">
        <v>7043</v>
      </c>
      <c r="J1362" s="3"/>
      <c r="K1362" s="3"/>
      <c r="L1362" s="5"/>
    </row>
    <row r="1363" spans="1:12" ht="28.8" x14ac:dyDescent="0.55000000000000004">
      <c r="A1363" s="9" t="str">
        <f>HYPERLINK("PDF\FOIA-FWS-2020-00724-0001362.pdf","FOIA-FWS-2020-00724-0001362")</f>
        <v>FOIA-FWS-2020-00724-0001362</v>
      </c>
      <c r="B1363" s="3" t="s">
        <v>2478</v>
      </c>
      <c r="C1363" s="3" t="s">
        <v>3</v>
      </c>
      <c r="D1363" s="3" t="s">
        <v>38</v>
      </c>
      <c r="E1363" s="3" t="s">
        <v>2479</v>
      </c>
      <c r="F1363" s="4">
        <v>43529</v>
      </c>
      <c r="G1363" s="3"/>
      <c r="H1363" s="3"/>
      <c r="I1363" s="3" t="s">
        <v>7043</v>
      </c>
      <c r="J1363" s="3"/>
      <c r="K1363" s="3"/>
      <c r="L1363" s="5"/>
    </row>
    <row r="1364" spans="1:12" ht="28.8" x14ac:dyDescent="0.55000000000000004">
      <c r="A1364" s="9" t="str">
        <f>HYPERLINK("PDF\FOIA-FWS-2020-00724-0001363.pdf","FOIA-FWS-2020-00724-0001363")</f>
        <v>FOIA-FWS-2020-00724-0001363</v>
      </c>
      <c r="B1364" s="3" t="s">
        <v>2480</v>
      </c>
      <c r="C1364" s="3" t="s">
        <v>3</v>
      </c>
      <c r="D1364" s="3" t="s">
        <v>38</v>
      </c>
      <c r="E1364" s="3" t="s">
        <v>2481</v>
      </c>
      <c r="F1364" s="4">
        <v>43529</v>
      </c>
      <c r="G1364" s="3"/>
      <c r="H1364" s="3"/>
      <c r="I1364" s="3" t="s">
        <v>7043</v>
      </c>
      <c r="J1364" s="3"/>
      <c r="K1364" s="3"/>
      <c r="L1364" s="5"/>
    </row>
    <row r="1365" spans="1:12" ht="28.8" x14ac:dyDescent="0.55000000000000004">
      <c r="A1365" s="9" t="str">
        <f>HYPERLINK("PDF\FOIA-FWS-2020-00724-0001364.pdf","FOIA-FWS-2020-00724-0001364")</f>
        <v>FOIA-FWS-2020-00724-0001364</v>
      </c>
      <c r="B1365" s="3" t="s">
        <v>2482</v>
      </c>
      <c r="C1365" s="3" t="s">
        <v>3</v>
      </c>
      <c r="D1365" s="3" t="s">
        <v>38</v>
      </c>
      <c r="E1365" s="3" t="s">
        <v>2483</v>
      </c>
      <c r="F1365" s="4">
        <v>43529</v>
      </c>
      <c r="G1365" s="3"/>
      <c r="H1365" s="3"/>
      <c r="I1365" s="3" t="s">
        <v>7043</v>
      </c>
      <c r="J1365" s="3"/>
      <c r="K1365" s="3"/>
      <c r="L1365" s="5"/>
    </row>
    <row r="1366" spans="1:12" ht="28.8" x14ac:dyDescent="0.55000000000000004">
      <c r="A1366" s="9" t="str">
        <f>HYPERLINK("PDF\FOIA-FWS-2020-00724-0001365.pdf","FOIA-FWS-2020-00724-0001365")</f>
        <v>FOIA-FWS-2020-00724-0001365</v>
      </c>
      <c r="B1366" s="3" t="s">
        <v>2484</v>
      </c>
      <c r="C1366" s="3" t="s">
        <v>3</v>
      </c>
      <c r="D1366" s="3" t="s">
        <v>38</v>
      </c>
      <c r="E1366" s="3" t="s">
        <v>2485</v>
      </c>
      <c r="F1366" s="4">
        <v>43529</v>
      </c>
      <c r="G1366" s="3"/>
      <c r="H1366" s="3"/>
      <c r="I1366" s="3" t="s">
        <v>7043</v>
      </c>
      <c r="J1366" s="3"/>
      <c r="K1366" s="3"/>
      <c r="L1366" s="5"/>
    </row>
    <row r="1367" spans="1:12" ht="28.8" x14ac:dyDescent="0.55000000000000004">
      <c r="A1367" s="9" t="str">
        <f>HYPERLINK("PDF\FOIA-FWS-2020-00724-0001366.pdf","FOIA-FWS-2020-00724-0001366")</f>
        <v>FOIA-FWS-2020-00724-0001366</v>
      </c>
      <c r="B1367" s="3" t="s">
        <v>2486</v>
      </c>
      <c r="C1367" s="3" t="s">
        <v>3</v>
      </c>
      <c r="D1367" s="3" t="s">
        <v>38</v>
      </c>
      <c r="E1367" s="3" t="s">
        <v>2487</v>
      </c>
      <c r="F1367" s="4">
        <v>43529</v>
      </c>
      <c r="G1367" s="3"/>
      <c r="H1367" s="3"/>
      <c r="I1367" s="3" t="s">
        <v>7043</v>
      </c>
      <c r="J1367" s="3"/>
      <c r="K1367" s="3"/>
      <c r="L1367" s="5"/>
    </row>
    <row r="1368" spans="1:12" ht="28.8" x14ac:dyDescent="0.55000000000000004">
      <c r="A1368" s="9" t="str">
        <f>HYPERLINK("PDF\FOIA-FWS-2020-00724-0001367.pdf","FOIA-FWS-2020-00724-0001367")</f>
        <v>FOIA-FWS-2020-00724-0001367</v>
      </c>
      <c r="B1368" s="3" t="s">
        <v>2488</v>
      </c>
      <c r="C1368" s="3" t="s">
        <v>3</v>
      </c>
      <c r="D1368" s="3" t="s">
        <v>38</v>
      </c>
      <c r="E1368" s="3" t="s">
        <v>2489</v>
      </c>
      <c r="F1368" s="4">
        <v>43529</v>
      </c>
      <c r="G1368" s="3"/>
      <c r="H1368" s="3"/>
      <c r="I1368" s="3" t="s">
        <v>7043</v>
      </c>
      <c r="J1368" s="3"/>
      <c r="K1368" s="3"/>
      <c r="L1368" s="5"/>
    </row>
    <row r="1369" spans="1:12" ht="28.8" x14ac:dyDescent="0.55000000000000004">
      <c r="A1369" s="9" t="str">
        <f>HYPERLINK("PDF\FOIA-FWS-2020-00724-0001368.pdf","FOIA-FWS-2020-00724-0001368")</f>
        <v>FOIA-FWS-2020-00724-0001368</v>
      </c>
      <c r="B1369" s="3" t="s">
        <v>2490</v>
      </c>
      <c r="C1369" s="3" t="s">
        <v>3</v>
      </c>
      <c r="D1369" s="3" t="s">
        <v>38</v>
      </c>
      <c r="E1369" s="3" t="s">
        <v>2491</v>
      </c>
      <c r="F1369" s="4">
        <v>43529</v>
      </c>
      <c r="G1369" s="3"/>
      <c r="H1369" s="3"/>
      <c r="I1369" s="3" t="s">
        <v>7043</v>
      </c>
      <c r="J1369" s="3"/>
      <c r="K1369" s="3"/>
      <c r="L1369" s="5"/>
    </row>
    <row r="1370" spans="1:12" ht="28.8" x14ac:dyDescent="0.55000000000000004">
      <c r="A1370" s="9" t="str">
        <f>HYPERLINK("PDF\FOIA-FWS-2020-00724-0001369.pdf","FOIA-FWS-2020-00724-0001369")</f>
        <v>FOIA-FWS-2020-00724-0001369</v>
      </c>
      <c r="B1370" s="3" t="s">
        <v>2492</v>
      </c>
      <c r="C1370" s="3" t="s">
        <v>3</v>
      </c>
      <c r="D1370" s="3" t="s">
        <v>38</v>
      </c>
      <c r="E1370" s="3" t="s">
        <v>2493</v>
      </c>
      <c r="F1370" s="4">
        <v>43529</v>
      </c>
      <c r="G1370" s="3"/>
      <c r="H1370" s="3"/>
      <c r="I1370" s="3" t="s">
        <v>7043</v>
      </c>
      <c r="J1370" s="3"/>
      <c r="K1370" s="3"/>
      <c r="L1370" s="5"/>
    </row>
    <row r="1371" spans="1:12" ht="28.8" x14ac:dyDescent="0.55000000000000004">
      <c r="A1371" s="9" t="str">
        <f>HYPERLINK("PDF\FOIA-FWS-2020-00724-0001370.pdf","FOIA-FWS-2020-00724-0001370")</f>
        <v>FOIA-FWS-2020-00724-0001370</v>
      </c>
      <c r="B1371" s="3" t="s">
        <v>2494</v>
      </c>
      <c r="C1371" s="3" t="s">
        <v>3</v>
      </c>
      <c r="D1371" s="3" t="s">
        <v>38</v>
      </c>
      <c r="E1371" s="3" t="s">
        <v>2495</v>
      </c>
      <c r="F1371" s="4">
        <v>43529</v>
      </c>
      <c r="G1371" s="3"/>
      <c r="H1371" s="3"/>
      <c r="I1371" s="3" t="s">
        <v>7043</v>
      </c>
      <c r="J1371" s="3"/>
      <c r="K1371" s="3"/>
      <c r="L1371" s="5"/>
    </row>
    <row r="1372" spans="1:12" ht="28.8" x14ac:dyDescent="0.55000000000000004">
      <c r="A1372" s="9" t="str">
        <f>HYPERLINK("PDF\FOIA-FWS-2020-00724-0001371.pdf","FOIA-FWS-2020-00724-0001371")</f>
        <v>FOIA-FWS-2020-00724-0001371</v>
      </c>
      <c r="B1372" s="3" t="s">
        <v>2496</v>
      </c>
      <c r="C1372" s="3" t="s">
        <v>3</v>
      </c>
      <c r="D1372" s="3" t="s">
        <v>38</v>
      </c>
      <c r="E1372" s="3" t="s">
        <v>2497</v>
      </c>
      <c r="F1372" s="4">
        <v>43529</v>
      </c>
      <c r="G1372" s="3"/>
      <c r="H1372" s="3"/>
      <c r="I1372" s="3" t="s">
        <v>7043</v>
      </c>
      <c r="J1372" s="3"/>
      <c r="K1372" s="3"/>
      <c r="L1372" s="5"/>
    </row>
    <row r="1373" spans="1:12" ht="28.8" x14ac:dyDescent="0.55000000000000004">
      <c r="A1373" s="9" t="str">
        <f>HYPERLINK("PDF\FOIA-FWS-2020-00724-0001372.pdf","FOIA-FWS-2020-00724-0001372")</f>
        <v>FOIA-FWS-2020-00724-0001372</v>
      </c>
      <c r="B1373" s="3" t="s">
        <v>2498</v>
      </c>
      <c r="C1373" s="3" t="s">
        <v>3</v>
      </c>
      <c r="D1373" s="3" t="s">
        <v>38</v>
      </c>
      <c r="E1373" s="3" t="s">
        <v>2499</v>
      </c>
      <c r="F1373" s="4">
        <v>43529</v>
      </c>
      <c r="G1373" s="3"/>
      <c r="H1373" s="3"/>
      <c r="I1373" s="3" t="s">
        <v>7043</v>
      </c>
      <c r="J1373" s="3"/>
      <c r="K1373" s="3"/>
      <c r="L1373" s="5"/>
    </row>
    <row r="1374" spans="1:12" ht="28.8" x14ac:dyDescent="0.55000000000000004">
      <c r="A1374" s="9" t="str">
        <f>HYPERLINK("PDF\FOIA-FWS-2020-00724-0001373.pdf","FOIA-FWS-2020-00724-0001373")</f>
        <v>FOIA-FWS-2020-00724-0001373</v>
      </c>
      <c r="B1374" s="3" t="s">
        <v>2500</v>
      </c>
      <c r="C1374" s="3" t="s">
        <v>3</v>
      </c>
      <c r="D1374" s="3" t="s">
        <v>38</v>
      </c>
      <c r="E1374" s="3" t="s">
        <v>2501</v>
      </c>
      <c r="F1374" s="4">
        <v>43529</v>
      </c>
      <c r="G1374" s="3"/>
      <c r="H1374" s="3"/>
      <c r="I1374" s="3" t="s">
        <v>7043</v>
      </c>
      <c r="J1374" s="3"/>
      <c r="K1374" s="3"/>
      <c r="L1374" s="5"/>
    </row>
    <row r="1375" spans="1:12" ht="28.8" x14ac:dyDescent="0.55000000000000004">
      <c r="A1375" s="9" t="str">
        <f>HYPERLINK("PDF\FOIA-FWS-2020-00724-0001374.pdf","FOIA-FWS-2020-00724-0001374")</f>
        <v>FOIA-FWS-2020-00724-0001374</v>
      </c>
      <c r="B1375" s="3" t="s">
        <v>2502</v>
      </c>
      <c r="C1375" s="3" t="s">
        <v>3</v>
      </c>
      <c r="D1375" s="3" t="s">
        <v>38</v>
      </c>
      <c r="E1375" s="3" t="s">
        <v>2503</v>
      </c>
      <c r="F1375" s="4">
        <v>43529</v>
      </c>
      <c r="G1375" s="3"/>
      <c r="H1375" s="3"/>
      <c r="I1375" s="3" t="s">
        <v>7043</v>
      </c>
      <c r="J1375" s="3"/>
      <c r="K1375" s="3"/>
      <c r="L1375" s="5"/>
    </row>
    <row r="1376" spans="1:12" ht="28.8" x14ac:dyDescent="0.55000000000000004">
      <c r="A1376" s="9" t="str">
        <f>HYPERLINK("PDF\FOIA-FWS-2020-00724-0001375.pdf","FOIA-FWS-2020-00724-0001375")</f>
        <v>FOIA-FWS-2020-00724-0001375</v>
      </c>
      <c r="B1376" s="3" t="s">
        <v>2504</v>
      </c>
      <c r="C1376" s="3" t="s">
        <v>3</v>
      </c>
      <c r="D1376" s="3" t="s">
        <v>38</v>
      </c>
      <c r="E1376" s="3" t="s">
        <v>2505</v>
      </c>
      <c r="F1376" s="4">
        <v>43529</v>
      </c>
      <c r="G1376" s="3"/>
      <c r="H1376" s="3"/>
      <c r="I1376" s="3" t="s">
        <v>7043</v>
      </c>
      <c r="J1376" s="3"/>
      <c r="K1376" s="3"/>
      <c r="L1376" s="5"/>
    </row>
    <row r="1377" spans="1:12" ht="28.8" x14ac:dyDescent="0.55000000000000004">
      <c r="A1377" s="9" t="str">
        <f>HYPERLINK("PDF\FOIA-FWS-2020-00724-0001376.pdf","FOIA-FWS-2020-00724-0001376")</f>
        <v>FOIA-FWS-2020-00724-0001376</v>
      </c>
      <c r="B1377" s="3" t="s">
        <v>2506</v>
      </c>
      <c r="C1377" s="3" t="s">
        <v>3</v>
      </c>
      <c r="D1377" s="3" t="s">
        <v>38</v>
      </c>
      <c r="E1377" s="3" t="s">
        <v>2507</v>
      </c>
      <c r="F1377" s="4">
        <v>43529</v>
      </c>
      <c r="G1377" s="3"/>
      <c r="H1377" s="3"/>
      <c r="I1377" s="3" t="s">
        <v>7043</v>
      </c>
      <c r="J1377" s="3"/>
      <c r="K1377" s="3"/>
      <c r="L1377" s="5"/>
    </row>
    <row r="1378" spans="1:12" ht="28.8" x14ac:dyDescent="0.55000000000000004">
      <c r="A1378" s="9" t="str">
        <f>HYPERLINK("PDF\FOIA-FWS-2020-00724-0001377.pdf","FOIA-FWS-2020-00724-0001377")</f>
        <v>FOIA-FWS-2020-00724-0001377</v>
      </c>
      <c r="B1378" s="3" t="s">
        <v>2508</v>
      </c>
      <c r="C1378" s="3" t="s">
        <v>3</v>
      </c>
      <c r="D1378" s="3" t="s">
        <v>33</v>
      </c>
      <c r="E1378" s="3" t="s">
        <v>2511</v>
      </c>
      <c r="F1378" s="4">
        <v>43529.038888888892</v>
      </c>
      <c r="G1378" s="3" t="s">
        <v>2509</v>
      </c>
      <c r="H1378" s="3" t="s">
        <v>2510</v>
      </c>
      <c r="I1378" s="3" t="s">
        <v>7043</v>
      </c>
      <c r="J1378" s="3"/>
      <c r="K1378" s="3"/>
      <c r="L1378" s="5"/>
    </row>
    <row r="1379" spans="1:12" ht="28.8" x14ac:dyDescent="0.55000000000000004">
      <c r="A1379" s="9" t="str">
        <f>HYPERLINK("PDF\FOIA-FWS-2020-00724-0001378.pdf","FOIA-FWS-2020-00724-0001378")</f>
        <v>FOIA-FWS-2020-00724-0001378</v>
      </c>
      <c r="B1379" s="3" t="s">
        <v>2508</v>
      </c>
      <c r="C1379" s="3" t="s">
        <v>234</v>
      </c>
      <c r="D1379" s="3" t="s">
        <v>38</v>
      </c>
      <c r="E1379" s="3" t="s">
        <v>2512</v>
      </c>
      <c r="F1379" s="4">
        <v>43529.038888888892</v>
      </c>
      <c r="G1379" s="3"/>
      <c r="H1379" s="3"/>
      <c r="I1379" s="3" t="s">
        <v>7043</v>
      </c>
      <c r="J1379" s="3"/>
      <c r="K1379" s="3"/>
      <c r="L1379" s="5"/>
    </row>
    <row r="1380" spans="1:12" ht="28.8" x14ac:dyDescent="0.55000000000000004">
      <c r="A1380" s="9" t="str">
        <f>HYPERLINK("PDF\FOIA-FWS-2020-00724-0001379.pdf","FOIA-FWS-2020-00724-0001379")</f>
        <v>FOIA-FWS-2020-00724-0001379</v>
      </c>
      <c r="B1380" s="3" t="s">
        <v>2513</v>
      </c>
      <c r="C1380" s="3" t="s">
        <v>3</v>
      </c>
      <c r="D1380" s="3" t="s">
        <v>33</v>
      </c>
      <c r="E1380" s="3" t="s">
        <v>2515</v>
      </c>
      <c r="F1380" s="4">
        <v>43529.424305555556</v>
      </c>
      <c r="G1380" s="3" t="s">
        <v>861</v>
      </c>
      <c r="H1380" s="3" t="s">
        <v>2514</v>
      </c>
      <c r="I1380" s="3" t="s">
        <v>7043</v>
      </c>
      <c r="J1380" s="3"/>
      <c r="K1380" s="3"/>
      <c r="L1380" s="5"/>
    </row>
    <row r="1381" spans="1:12" ht="28.8" x14ac:dyDescent="0.55000000000000004">
      <c r="A1381" s="9" t="str">
        <f>HYPERLINK("PDF\FOIA-FWS-2020-00724-0001380.pdf","FOIA-FWS-2020-00724-0001380")</f>
        <v>FOIA-FWS-2020-00724-0001380</v>
      </c>
      <c r="B1381" s="3" t="s">
        <v>2516</v>
      </c>
      <c r="C1381" s="3" t="s">
        <v>3</v>
      </c>
      <c r="D1381" s="3" t="s">
        <v>33</v>
      </c>
      <c r="E1381" s="3" t="s">
        <v>2515</v>
      </c>
      <c r="F1381" s="4">
        <v>43529.425694444442</v>
      </c>
      <c r="G1381" s="3" t="s">
        <v>861</v>
      </c>
      <c r="H1381" s="3" t="s">
        <v>2514</v>
      </c>
      <c r="I1381" s="3" t="s">
        <v>7043</v>
      </c>
      <c r="J1381" s="3"/>
      <c r="K1381" s="3"/>
      <c r="L1381" s="5"/>
    </row>
    <row r="1382" spans="1:12" ht="28.8" x14ac:dyDescent="0.55000000000000004">
      <c r="A1382" s="9" t="str">
        <f>HYPERLINK("PDF\FOIA-FWS-2020-00724-0001381.pdf","FOIA-FWS-2020-00724-0001381")</f>
        <v>FOIA-FWS-2020-00724-0001381</v>
      </c>
      <c r="B1382" s="3" t="s">
        <v>2517</v>
      </c>
      <c r="C1382" s="3" t="s">
        <v>3</v>
      </c>
      <c r="D1382" s="3" t="s">
        <v>33</v>
      </c>
      <c r="E1382" s="3" t="s">
        <v>2518</v>
      </c>
      <c r="F1382" s="4">
        <v>43529.508333333331</v>
      </c>
      <c r="G1382" s="3" t="s">
        <v>1392</v>
      </c>
      <c r="H1382" s="3" t="s">
        <v>2054</v>
      </c>
      <c r="I1382" s="3" t="s">
        <v>7043</v>
      </c>
      <c r="J1382" s="3"/>
      <c r="K1382" s="3"/>
      <c r="L1382" s="5"/>
    </row>
    <row r="1383" spans="1:12" ht="28.8" x14ac:dyDescent="0.55000000000000004">
      <c r="A1383" s="9" t="str">
        <f>HYPERLINK("PDF\FOIA-FWS-2020-00724-0001382.pdf","FOIA-FWS-2020-00724-0001382")</f>
        <v>FOIA-FWS-2020-00724-0001382</v>
      </c>
      <c r="B1383" s="3" t="s">
        <v>2519</v>
      </c>
      <c r="C1383" s="3" t="s">
        <v>3</v>
      </c>
      <c r="D1383" s="3" t="s">
        <v>33</v>
      </c>
      <c r="E1383" s="3" t="s">
        <v>2521</v>
      </c>
      <c r="F1383" s="4">
        <v>43529.533333333333</v>
      </c>
      <c r="G1383" s="3" t="s">
        <v>872</v>
      </c>
      <c r="H1383" s="3" t="s">
        <v>2520</v>
      </c>
      <c r="I1383" s="3" t="s">
        <v>7043</v>
      </c>
      <c r="J1383" s="3"/>
      <c r="K1383" s="3"/>
      <c r="L1383" s="5"/>
    </row>
    <row r="1384" spans="1:12" ht="28.8" x14ac:dyDescent="0.55000000000000004">
      <c r="A1384" s="9" t="str">
        <f>HYPERLINK("PDF\FOIA-FWS-2020-00724-0001383.pdf","FOIA-FWS-2020-00724-0001383")</f>
        <v>FOIA-FWS-2020-00724-0001383</v>
      </c>
      <c r="B1384" s="3" t="s">
        <v>2522</v>
      </c>
      <c r="C1384" s="3" t="s">
        <v>3</v>
      </c>
      <c r="D1384" s="3" t="s">
        <v>33</v>
      </c>
      <c r="E1384" s="3" t="s">
        <v>2523</v>
      </c>
      <c r="F1384" s="4">
        <v>43529.611111111109</v>
      </c>
      <c r="G1384" s="3" t="s">
        <v>2509</v>
      </c>
      <c r="H1384" s="3" t="s">
        <v>1024</v>
      </c>
      <c r="I1384" s="3" t="s">
        <v>7043</v>
      </c>
      <c r="J1384" s="3"/>
      <c r="K1384" s="3"/>
      <c r="L1384" s="5"/>
    </row>
    <row r="1385" spans="1:12" ht="28.8" x14ac:dyDescent="0.55000000000000004">
      <c r="A1385" s="9" t="str">
        <f>HYPERLINK("PDF\FOIA-FWS-2020-00724-0001384.pdf","FOIA-FWS-2020-00724-0001384")</f>
        <v>FOIA-FWS-2020-00724-0001384</v>
      </c>
      <c r="B1385" s="3" t="s">
        <v>2524</v>
      </c>
      <c r="C1385" s="3" t="s">
        <v>3</v>
      </c>
      <c r="D1385" s="3" t="s">
        <v>33</v>
      </c>
      <c r="E1385" s="3" t="s">
        <v>2526</v>
      </c>
      <c r="F1385" s="4">
        <v>43529.663888888892</v>
      </c>
      <c r="G1385" s="3" t="s">
        <v>2525</v>
      </c>
      <c r="H1385" s="3" t="s">
        <v>955</v>
      </c>
      <c r="I1385" s="3" t="s">
        <v>7043</v>
      </c>
      <c r="J1385" s="3"/>
      <c r="K1385" s="3"/>
      <c r="L1385" s="5"/>
    </row>
    <row r="1386" spans="1:12" ht="28.8" x14ac:dyDescent="0.55000000000000004">
      <c r="A1386" s="9" t="str">
        <f>HYPERLINK("PDF\FOIA-FWS-2020-00724-0001385.pdf","FOIA-FWS-2020-00724-0001385")</f>
        <v>FOIA-FWS-2020-00724-0001385</v>
      </c>
      <c r="B1386" s="3" t="s">
        <v>2527</v>
      </c>
      <c r="C1386" s="3" t="s">
        <v>3</v>
      </c>
      <c r="D1386" s="3" t="s">
        <v>33</v>
      </c>
      <c r="E1386" s="3" t="s">
        <v>2528</v>
      </c>
      <c r="F1386" s="4">
        <v>43529.693055555559</v>
      </c>
      <c r="G1386" s="3" t="s">
        <v>2525</v>
      </c>
      <c r="H1386" s="3" t="s">
        <v>955</v>
      </c>
      <c r="I1386" s="3" t="s">
        <v>7043</v>
      </c>
      <c r="J1386" s="3"/>
      <c r="K1386" s="3"/>
      <c r="L1386" s="5"/>
    </row>
    <row r="1387" spans="1:12" ht="28.8" x14ac:dyDescent="0.55000000000000004">
      <c r="A1387" s="9" t="str">
        <f>HYPERLINK("PDF\FOIA-FWS-2020-00724-0001386.pdf","FOIA-FWS-2020-00724-0001386")</f>
        <v>FOIA-FWS-2020-00724-0001386</v>
      </c>
      <c r="B1387" s="3" t="s">
        <v>2527</v>
      </c>
      <c r="C1387" s="3" t="s">
        <v>234</v>
      </c>
      <c r="D1387" s="3" t="s">
        <v>4</v>
      </c>
      <c r="E1387" s="3" t="s">
        <v>2529</v>
      </c>
      <c r="F1387" s="4">
        <v>43529.693055555559</v>
      </c>
      <c r="G1387" s="3"/>
      <c r="H1387" s="3"/>
      <c r="I1387" s="3" t="s">
        <v>7043</v>
      </c>
      <c r="J1387" s="3"/>
      <c r="K1387" s="3"/>
      <c r="L1387" s="5"/>
    </row>
    <row r="1388" spans="1:12" ht="28.8" x14ac:dyDescent="0.55000000000000004">
      <c r="A1388" s="9" t="str">
        <f>HYPERLINK("PDF\FOIA-FWS-2020-00724-0001387.pdf","FOIA-FWS-2020-00724-0001387")</f>
        <v>FOIA-FWS-2020-00724-0001387</v>
      </c>
      <c r="B1388" s="3" t="s">
        <v>2530</v>
      </c>
      <c r="C1388" s="3" t="s">
        <v>3</v>
      </c>
      <c r="D1388" s="3" t="s">
        <v>33</v>
      </c>
      <c r="E1388" s="3" t="s">
        <v>2532</v>
      </c>
      <c r="F1388" s="4">
        <v>43529.728472222225</v>
      </c>
      <c r="G1388" s="3" t="s">
        <v>955</v>
      </c>
      <c r="H1388" s="3" t="s">
        <v>2531</v>
      </c>
      <c r="I1388" s="3" t="s">
        <v>7043</v>
      </c>
      <c r="J1388" s="3"/>
      <c r="K1388" s="3"/>
      <c r="L1388" s="5"/>
    </row>
    <row r="1389" spans="1:12" ht="43.2" x14ac:dyDescent="0.55000000000000004">
      <c r="A1389" s="9" t="str">
        <f>HYPERLINK("PDF\FOIA-FWS-2020-00724-0001388.pdf","FOIA-FWS-2020-00724-0001388")</f>
        <v>FOIA-FWS-2020-00724-0001388</v>
      </c>
      <c r="B1389" s="3" t="s">
        <v>2533</v>
      </c>
      <c r="C1389" s="3" t="s">
        <v>3</v>
      </c>
      <c r="D1389" s="3" t="s">
        <v>33</v>
      </c>
      <c r="E1389" s="3" t="s">
        <v>2534</v>
      </c>
      <c r="F1389" s="4">
        <v>43529.811111111114</v>
      </c>
      <c r="G1389" s="3" t="s">
        <v>2525</v>
      </c>
      <c r="H1389" s="3" t="s">
        <v>955</v>
      </c>
      <c r="I1389" s="3" t="s">
        <v>7043</v>
      </c>
      <c r="J1389" s="3"/>
      <c r="K1389" s="3"/>
      <c r="L1389" s="5"/>
    </row>
    <row r="1390" spans="1:12" ht="28.8" x14ac:dyDescent="0.55000000000000004">
      <c r="A1390" s="9" t="str">
        <f>HYPERLINK("PDF\FOIA-FWS-2020-00724-0001389.pdf","FOIA-FWS-2020-00724-0001389")</f>
        <v>FOIA-FWS-2020-00724-0001389</v>
      </c>
      <c r="B1390" s="3" t="s">
        <v>2535</v>
      </c>
      <c r="C1390" s="3" t="s">
        <v>3</v>
      </c>
      <c r="D1390" s="3" t="s">
        <v>33</v>
      </c>
      <c r="E1390" s="3" t="s">
        <v>2536</v>
      </c>
      <c r="F1390" s="4">
        <v>43530</v>
      </c>
      <c r="G1390" s="3"/>
      <c r="H1390" s="3"/>
      <c r="I1390" s="3" t="s">
        <v>7043</v>
      </c>
      <c r="J1390" s="3"/>
      <c r="K1390" s="3"/>
      <c r="L1390" s="5"/>
    </row>
    <row r="1391" spans="1:12" ht="28.8" x14ac:dyDescent="0.55000000000000004">
      <c r="A1391" s="9" t="str">
        <f>HYPERLINK("PDF\FOIA-FWS-2020-00724-0001390.pdf","FOIA-FWS-2020-00724-0001390")</f>
        <v>FOIA-FWS-2020-00724-0001390</v>
      </c>
      <c r="B1391" s="3" t="s">
        <v>2537</v>
      </c>
      <c r="C1391" s="3" t="s">
        <v>3</v>
      </c>
      <c r="D1391" s="3" t="s">
        <v>4</v>
      </c>
      <c r="E1391" s="3" t="s">
        <v>2538</v>
      </c>
      <c r="F1391" s="4">
        <v>43530</v>
      </c>
      <c r="G1391" s="3"/>
      <c r="H1391" s="3"/>
      <c r="I1391" s="3" t="s">
        <v>7043</v>
      </c>
      <c r="J1391" s="3"/>
      <c r="K1391" s="3"/>
      <c r="L1391" s="5"/>
    </row>
    <row r="1392" spans="1:12" ht="57.6" x14ac:dyDescent="0.55000000000000004">
      <c r="A1392" s="9" t="str">
        <f>HYPERLINK("PDF\FOIA-FWS-2020-00724-0001391.pdf","FOIA-FWS-2020-00724-0001391")</f>
        <v>FOIA-FWS-2020-00724-0001391</v>
      </c>
      <c r="B1392" s="3" t="s">
        <v>2539</v>
      </c>
      <c r="C1392" s="3" t="s">
        <v>3</v>
      </c>
      <c r="D1392" s="3" t="s">
        <v>33</v>
      </c>
      <c r="E1392" s="3" t="s">
        <v>2541</v>
      </c>
      <c r="F1392" s="4">
        <v>43530.427777777775</v>
      </c>
      <c r="G1392" s="3" t="s">
        <v>919</v>
      </c>
      <c r="H1392" s="3" t="s">
        <v>2540</v>
      </c>
      <c r="I1392" s="3" t="s">
        <v>7043</v>
      </c>
      <c r="J1392" s="3"/>
      <c r="K1392" s="3"/>
      <c r="L1392" s="5"/>
    </row>
    <row r="1393" spans="1:12" ht="100.8" x14ac:dyDescent="0.55000000000000004">
      <c r="A1393" s="9" t="str">
        <f>HYPERLINK("PDF\FOIA-FWS-2020-00724-0001392.pdf","FOIA-FWS-2020-00724-0001392")</f>
        <v>FOIA-FWS-2020-00724-0001392</v>
      </c>
      <c r="B1393" s="3" t="s">
        <v>2542</v>
      </c>
      <c r="C1393" s="3" t="s">
        <v>3</v>
      </c>
      <c r="D1393" s="3" t="s">
        <v>33</v>
      </c>
      <c r="E1393" s="3" t="s">
        <v>2544</v>
      </c>
      <c r="F1393" s="4">
        <v>43530.463888888888</v>
      </c>
      <c r="G1393" s="3" t="s">
        <v>872</v>
      </c>
      <c r="H1393" s="3" t="s">
        <v>2543</v>
      </c>
      <c r="I1393" s="3" t="s">
        <v>7043</v>
      </c>
      <c r="J1393" s="3"/>
      <c r="K1393" s="3"/>
      <c r="L1393" s="5"/>
    </row>
    <row r="1394" spans="1:12" ht="28.8" x14ac:dyDescent="0.55000000000000004">
      <c r="A1394" s="9" t="str">
        <f>HYPERLINK("PDF\FOIA-FWS-2020-00724-0001393.pdf","FOIA-FWS-2020-00724-0001393")</f>
        <v>FOIA-FWS-2020-00724-0001393</v>
      </c>
      <c r="B1394" s="3" t="s">
        <v>2545</v>
      </c>
      <c r="C1394" s="3" t="s">
        <v>3</v>
      </c>
      <c r="D1394" s="3" t="s">
        <v>33</v>
      </c>
      <c r="E1394" s="3" t="s">
        <v>2546</v>
      </c>
      <c r="F1394" s="4">
        <v>43530.544444444444</v>
      </c>
      <c r="G1394" s="3" t="s">
        <v>872</v>
      </c>
      <c r="H1394" s="3" t="s">
        <v>955</v>
      </c>
      <c r="I1394" s="3" t="s">
        <v>7043</v>
      </c>
      <c r="J1394" s="3"/>
      <c r="K1394" s="3"/>
      <c r="L1394" s="5"/>
    </row>
    <row r="1395" spans="1:12" ht="28.8" x14ac:dyDescent="0.55000000000000004">
      <c r="A1395" s="9" t="str">
        <f>HYPERLINK("PDF\FOIA-FWS-2020-00724-0001394.pdf","FOIA-FWS-2020-00724-0001394")</f>
        <v>FOIA-FWS-2020-00724-0001394</v>
      </c>
      <c r="B1395" s="3" t="s">
        <v>2547</v>
      </c>
      <c r="C1395" s="3" t="s">
        <v>3</v>
      </c>
      <c r="D1395" s="3" t="s">
        <v>33</v>
      </c>
      <c r="E1395" s="3" t="s">
        <v>2548</v>
      </c>
      <c r="F1395" s="4">
        <v>43530.597222222219</v>
      </c>
      <c r="G1395" s="3" t="s">
        <v>955</v>
      </c>
      <c r="H1395" s="3" t="s">
        <v>1119</v>
      </c>
      <c r="I1395" s="3" t="s">
        <v>7043</v>
      </c>
      <c r="J1395" s="3"/>
      <c r="K1395" s="3"/>
      <c r="L1395" s="5"/>
    </row>
    <row r="1396" spans="1:12" ht="28.8" x14ac:dyDescent="0.55000000000000004">
      <c r="A1396" s="9" t="str">
        <f>HYPERLINK("PDF\FOIA-FWS-2020-00724-0001395.pdf","FOIA-FWS-2020-00724-0001395")</f>
        <v>FOIA-FWS-2020-00724-0001395</v>
      </c>
      <c r="B1396" s="3" t="s">
        <v>2549</v>
      </c>
      <c r="C1396" s="3" t="s">
        <v>3</v>
      </c>
      <c r="D1396" s="3" t="s">
        <v>33</v>
      </c>
      <c r="E1396" s="3" t="s">
        <v>2550</v>
      </c>
      <c r="F1396" s="4">
        <v>43530.597222222219</v>
      </c>
      <c r="G1396" s="3" t="s">
        <v>1874</v>
      </c>
      <c r="H1396" s="3" t="s">
        <v>955</v>
      </c>
      <c r="I1396" s="3" t="s">
        <v>7043</v>
      </c>
      <c r="J1396" s="3"/>
      <c r="K1396" s="3"/>
      <c r="L1396" s="5"/>
    </row>
    <row r="1397" spans="1:12" ht="28.8" x14ac:dyDescent="0.55000000000000004">
      <c r="A1397" s="9" t="str">
        <f>HYPERLINK("PDF\FOIA-FWS-2020-00724-0001396.pdf","FOIA-FWS-2020-00724-0001396")</f>
        <v>FOIA-FWS-2020-00724-0001396</v>
      </c>
      <c r="B1397" s="3" t="s">
        <v>2549</v>
      </c>
      <c r="C1397" s="3" t="s">
        <v>234</v>
      </c>
      <c r="D1397" s="3" t="s">
        <v>4</v>
      </c>
      <c r="E1397" s="3" t="s">
        <v>2551</v>
      </c>
      <c r="F1397" s="4">
        <v>43530.597222222219</v>
      </c>
      <c r="G1397" s="3"/>
      <c r="H1397" s="3"/>
      <c r="I1397" s="3" t="s">
        <v>7043</v>
      </c>
      <c r="J1397" s="3"/>
      <c r="K1397" s="3"/>
      <c r="L1397" s="5"/>
    </row>
    <row r="1398" spans="1:12" ht="28.8" x14ac:dyDescent="0.55000000000000004">
      <c r="A1398" s="9" t="str">
        <f>HYPERLINK("PDF\FOIA-FWS-2020-00724-0001397.pdf","FOIA-FWS-2020-00724-0001397")</f>
        <v>FOIA-FWS-2020-00724-0001397</v>
      </c>
      <c r="B1398" s="3" t="s">
        <v>2552</v>
      </c>
      <c r="C1398" s="3" t="s">
        <v>3</v>
      </c>
      <c r="D1398" s="3" t="s">
        <v>33</v>
      </c>
      <c r="E1398" s="3" t="s">
        <v>2553</v>
      </c>
      <c r="F1398" s="4">
        <v>43530.603472222225</v>
      </c>
      <c r="G1398" s="3" t="s">
        <v>1119</v>
      </c>
      <c r="H1398" s="3" t="s">
        <v>1719</v>
      </c>
      <c r="I1398" s="3" t="s">
        <v>7043</v>
      </c>
      <c r="J1398" s="3"/>
      <c r="K1398" s="3"/>
      <c r="L1398" s="5"/>
    </row>
    <row r="1399" spans="1:12" ht="28.8" x14ac:dyDescent="0.55000000000000004">
      <c r="A1399" s="9" t="str">
        <f>HYPERLINK("PDF\FOIA-FWS-2020-00724-0001398.pdf","FOIA-FWS-2020-00724-0001398")</f>
        <v>FOIA-FWS-2020-00724-0001398</v>
      </c>
      <c r="B1399" s="3" t="s">
        <v>2552</v>
      </c>
      <c r="C1399" s="3" t="s">
        <v>234</v>
      </c>
      <c r="D1399" s="3" t="s">
        <v>33</v>
      </c>
      <c r="E1399" s="3" t="s">
        <v>2554</v>
      </c>
      <c r="F1399" s="4">
        <v>43530.603472222225</v>
      </c>
      <c r="G1399" s="3"/>
      <c r="H1399" s="3"/>
      <c r="I1399" s="3" t="s">
        <v>7043</v>
      </c>
      <c r="J1399" s="3"/>
      <c r="K1399" s="3"/>
      <c r="L1399" s="5"/>
    </row>
    <row r="1400" spans="1:12" ht="28.8" x14ac:dyDescent="0.55000000000000004">
      <c r="A1400" s="9" t="str">
        <f>HYPERLINK("PDF\FOIA-FWS-2020-00724-0001399.pdf","FOIA-FWS-2020-00724-0001399")</f>
        <v>FOIA-FWS-2020-00724-0001399</v>
      </c>
      <c r="B1400" s="3" t="s">
        <v>2555</v>
      </c>
      <c r="C1400" s="3" t="s">
        <v>3</v>
      </c>
      <c r="D1400" s="3" t="s">
        <v>33</v>
      </c>
      <c r="E1400" s="3" t="s">
        <v>2556</v>
      </c>
      <c r="F1400" s="4">
        <v>43530.616666666669</v>
      </c>
      <c r="G1400" s="3" t="s">
        <v>955</v>
      </c>
      <c r="H1400" s="3" t="s">
        <v>1730</v>
      </c>
      <c r="I1400" s="3" t="s">
        <v>7043</v>
      </c>
      <c r="J1400" s="3"/>
      <c r="K1400" s="3"/>
      <c r="L1400" s="5"/>
    </row>
    <row r="1401" spans="1:12" ht="28.8" x14ac:dyDescent="0.55000000000000004">
      <c r="A1401" s="9" t="str">
        <f>HYPERLINK("PDF\FOIA-FWS-2020-00724-0001400.pdf","FOIA-FWS-2020-00724-0001400")</f>
        <v>FOIA-FWS-2020-00724-0001400</v>
      </c>
      <c r="B1401" s="3" t="s">
        <v>2555</v>
      </c>
      <c r="C1401" s="3" t="s">
        <v>234</v>
      </c>
      <c r="D1401" s="3" t="s">
        <v>33</v>
      </c>
      <c r="E1401" s="3" t="s">
        <v>2557</v>
      </c>
      <c r="F1401" s="4">
        <v>43530.616666666669</v>
      </c>
      <c r="G1401" s="3"/>
      <c r="H1401" s="3"/>
      <c r="I1401" s="3" t="s">
        <v>7043</v>
      </c>
      <c r="J1401" s="3"/>
      <c r="K1401" s="3"/>
      <c r="L1401" s="5"/>
    </row>
    <row r="1402" spans="1:12" ht="28.8" x14ac:dyDescent="0.55000000000000004">
      <c r="A1402" s="9" t="str">
        <f>HYPERLINK("PDF\FOIA-FWS-2020-00724-0001401.pdf","FOIA-FWS-2020-00724-0001401")</f>
        <v>FOIA-FWS-2020-00724-0001401</v>
      </c>
      <c r="B1402" s="3" t="s">
        <v>2555</v>
      </c>
      <c r="C1402" s="3" t="s">
        <v>234</v>
      </c>
      <c r="D1402" s="3" t="s">
        <v>33</v>
      </c>
      <c r="E1402" s="3" t="s">
        <v>2558</v>
      </c>
      <c r="F1402" s="4">
        <v>43530.616666666669</v>
      </c>
      <c r="G1402" s="3"/>
      <c r="H1402" s="3"/>
      <c r="I1402" s="3" t="s">
        <v>7043</v>
      </c>
      <c r="J1402" s="3"/>
      <c r="K1402" s="3"/>
      <c r="L1402" s="5"/>
    </row>
    <row r="1403" spans="1:12" ht="28.8" x14ac:dyDescent="0.55000000000000004">
      <c r="A1403" s="9" t="str">
        <f>HYPERLINK("PDF\FOIA-FWS-2020-00724-0001402.pdf","FOIA-FWS-2020-00724-0001402")</f>
        <v>FOIA-FWS-2020-00724-0001402</v>
      </c>
      <c r="B1403" s="3" t="s">
        <v>2559</v>
      </c>
      <c r="C1403" s="3" t="s">
        <v>3</v>
      </c>
      <c r="D1403" s="3" t="s">
        <v>33</v>
      </c>
      <c r="E1403" s="3" t="s">
        <v>2560</v>
      </c>
      <c r="F1403" s="4">
        <v>43530.62777777778</v>
      </c>
      <c r="G1403" s="3" t="s">
        <v>963</v>
      </c>
      <c r="H1403" s="3" t="s">
        <v>872</v>
      </c>
      <c r="I1403" s="3" t="s">
        <v>7043</v>
      </c>
      <c r="J1403" s="3"/>
      <c r="K1403" s="3"/>
      <c r="L1403" s="5"/>
    </row>
    <row r="1404" spans="1:12" ht="57.6" x14ac:dyDescent="0.55000000000000004">
      <c r="A1404" s="9" t="str">
        <f>HYPERLINK("PDF\FOIA-FWS-2020-00724-0001403.pdf","FOIA-FWS-2020-00724-0001403")</f>
        <v>FOIA-FWS-2020-00724-0001403</v>
      </c>
      <c r="B1404" s="3" t="s">
        <v>2561</v>
      </c>
      <c r="C1404" s="3" t="s">
        <v>3</v>
      </c>
      <c r="D1404" s="3" t="s">
        <v>33</v>
      </c>
      <c r="E1404" s="3" t="s">
        <v>2562</v>
      </c>
      <c r="F1404" s="4">
        <v>43530.634027777778</v>
      </c>
      <c r="G1404" s="3" t="s">
        <v>1119</v>
      </c>
      <c r="H1404" s="3" t="s">
        <v>1135</v>
      </c>
      <c r="I1404" s="3" t="s">
        <v>7043</v>
      </c>
      <c r="J1404" s="3"/>
      <c r="K1404" s="3"/>
      <c r="L1404" s="5"/>
    </row>
    <row r="1405" spans="1:12" ht="28.8" x14ac:dyDescent="0.55000000000000004">
      <c r="A1405" s="9" t="str">
        <f>HYPERLINK("PDF\FOIA-FWS-2020-00724-0001404.pdf","FOIA-FWS-2020-00724-0001404")</f>
        <v>FOIA-FWS-2020-00724-0001404</v>
      </c>
      <c r="B1405" s="3" t="s">
        <v>2563</v>
      </c>
      <c r="C1405" s="3" t="s">
        <v>3</v>
      </c>
      <c r="D1405" s="3" t="s">
        <v>33</v>
      </c>
      <c r="E1405" s="3" t="s">
        <v>2560</v>
      </c>
      <c r="F1405" s="4">
        <v>43530.716666666667</v>
      </c>
      <c r="G1405" s="3" t="s">
        <v>963</v>
      </c>
      <c r="H1405" s="3" t="s">
        <v>955</v>
      </c>
      <c r="I1405" s="3" t="s">
        <v>7043</v>
      </c>
      <c r="J1405" s="3"/>
      <c r="K1405" s="3"/>
      <c r="L1405" s="5"/>
    </row>
    <row r="1406" spans="1:12" ht="28.8" x14ac:dyDescent="0.55000000000000004">
      <c r="A1406" s="9" t="str">
        <f>HYPERLINK("PDF\FOIA-FWS-2020-00724-0001405.pdf","FOIA-FWS-2020-00724-0001405")</f>
        <v>FOIA-FWS-2020-00724-0001405</v>
      </c>
      <c r="B1406" s="3" t="s">
        <v>2564</v>
      </c>
      <c r="C1406" s="3" t="s">
        <v>3</v>
      </c>
      <c r="D1406" s="3" t="s">
        <v>33</v>
      </c>
      <c r="E1406" s="3" t="s">
        <v>2566</v>
      </c>
      <c r="F1406" s="4">
        <v>43530.745138888888</v>
      </c>
      <c r="G1406" s="3" t="s">
        <v>2565</v>
      </c>
      <c r="H1406" s="3" t="s">
        <v>955</v>
      </c>
      <c r="I1406" s="3" t="s">
        <v>7043</v>
      </c>
      <c r="J1406" s="3"/>
      <c r="K1406" s="3"/>
      <c r="L1406" s="5"/>
    </row>
    <row r="1407" spans="1:12" ht="115.2" x14ac:dyDescent="0.55000000000000004">
      <c r="A1407" s="9" t="str">
        <f>HYPERLINK("PDF\FOIA-FWS-2020-00724-0001406.pdf","FOIA-FWS-2020-00724-0001406")</f>
        <v>FOIA-FWS-2020-00724-0001406</v>
      </c>
      <c r="B1407" s="3" t="s">
        <v>2567</v>
      </c>
      <c r="C1407" s="3" t="s">
        <v>3</v>
      </c>
      <c r="D1407" s="3" t="s">
        <v>33</v>
      </c>
      <c r="E1407" s="3" t="s">
        <v>2570</v>
      </c>
      <c r="F1407" s="4">
        <v>43530.769444444442</v>
      </c>
      <c r="G1407" s="3" t="s">
        <v>2568</v>
      </c>
      <c r="H1407" s="3" t="s">
        <v>2569</v>
      </c>
      <c r="I1407" s="3" t="s">
        <v>7043</v>
      </c>
      <c r="J1407" s="3"/>
      <c r="K1407" s="3"/>
      <c r="L1407" s="5"/>
    </row>
    <row r="1408" spans="1:12" ht="28.8" x14ac:dyDescent="0.55000000000000004">
      <c r="A1408" s="9" t="str">
        <f>HYPERLINK("PDF\FOIA-FWS-2020-00724-0001407.pdf","FOIA-FWS-2020-00724-0001407")</f>
        <v>FOIA-FWS-2020-00724-0001407</v>
      </c>
      <c r="B1408" s="3" t="s">
        <v>2567</v>
      </c>
      <c r="C1408" s="3" t="s">
        <v>234</v>
      </c>
      <c r="D1408" s="3" t="s">
        <v>33</v>
      </c>
      <c r="E1408" s="3" t="s">
        <v>2571</v>
      </c>
      <c r="F1408" s="4">
        <v>43530.769444444442</v>
      </c>
      <c r="G1408" s="3"/>
      <c r="H1408" s="3"/>
      <c r="I1408" s="3" t="s">
        <v>7043</v>
      </c>
      <c r="J1408" s="3"/>
      <c r="K1408" s="3"/>
      <c r="L1408" s="5"/>
    </row>
    <row r="1409" spans="1:12" ht="28.8" x14ac:dyDescent="0.55000000000000004">
      <c r="A1409" s="9" t="str">
        <f>HYPERLINK("PDF\FOIA-FWS-2020-00724-0001408.pdf","FOIA-FWS-2020-00724-0001408")</f>
        <v>FOIA-FWS-2020-00724-0001408</v>
      </c>
      <c r="B1409" s="3" t="s">
        <v>2567</v>
      </c>
      <c r="C1409" s="3" t="s">
        <v>234</v>
      </c>
      <c r="D1409" s="3" t="s">
        <v>33</v>
      </c>
      <c r="E1409" s="3" t="s">
        <v>2572</v>
      </c>
      <c r="F1409" s="4">
        <v>43530.769444444442</v>
      </c>
      <c r="G1409" s="3"/>
      <c r="H1409" s="3"/>
      <c r="I1409" s="3" t="s">
        <v>7043</v>
      </c>
      <c r="J1409" s="3"/>
      <c r="K1409" s="3"/>
      <c r="L1409" s="5"/>
    </row>
    <row r="1410" spans="1:12" ht="28.8" x14ac:dyDescent="0.55000000000000004">
      <c r="A1410" s="9" t="str">
        <f>HYPERLINK("PDF\FOIA-FWS-2020-00724-0001409.pdf","FOIA-FWS-2020-00724-0001409")</f>
        <v>FOIA-FWS-2020-00724-0001409</v>
      </c>
      <c r="B1410" s="3" t="s">
        <v>2567</v>
      </c>
      <c r="C1410" s="3" t="s">
        <v>234</v>
      </c>
      <c r="D1410" s="3" t="s">
        <v>33</v>
      </c>
      <c r="E1410" s="3" t="s">
        <v>2573</v>
      </c>
      <c r="F1410" s="4">
        <v>43530.769444444442</v>
      </c>
      <c r="G1410" s="3"/>
      <c r="H1410" s="3"/>
      <c r="I1410" s="3" t="s">
        <v>7043</v>
      </c>
      <c r="J1410" s="3"/>
      <c r="K1410" s="3"/>
      <c r="L1410" s="5"/>
    </row>
    <row r="1411" spans="1:12" ht="28.8" x14ac:dyDescent="0.55000000000000004">
      <c r="A1411" s="9" t="str">
        <f>HYPERLINK("PDF\FOIA-FWS-2020-00724-0001410.pdf","FOIA-FWS-2020-00724-0001410")</f>
        <v>FOIA-FWS-2020-00724-0001410</v>
      </c>
      <c r="B1411" s="3" t="s">
        <v>2574</v>
      </c>
      <c r="C1411" s="3" t="s">
        <v>3</v>
      </c>
      <c r="D1411" s="3" t="s">
        <v>38</v>
      </c>
      <c r="E1411" s="3" t="s">
        <v>2575</v>
      </c>
      <c r="F1411" s="4">
        <v>43531</v>
      </c>
      <c r="G1411" s="3"/>
      <c r="H1411" s="3"/>
      <c r="I1411" s="3" t="s">
        <v>7043</v>
      </c>
      <c r="J1411" s="3"/>
      <c r="K1411" s="3"/>
      <c r="L1411" s="5"/>
    </row>
    <row r="1412" spans="1:12" ht="28.8" x14ac:dyDescent="0.55000000000000004">
      <c r="A1412" s="9" t="str">
        <f>HYPERLINK("PDF\FOIA-FWS-2020-00724-0001411.pdf","FOIA-FWS-2020-00724-0001411")</f>
        <v>FOIA-FWS-2020-00724-0001411</v>
      </c>
      <c r="B1412" s="3" t="s">
        <v>2576</v>
      </c>
      <c r="C1412" s="3" t="s">
        <v>3</v>
      </c>
      <c r="D1412" s="3" t="s">
        <v>33</v>
      </c>
      <c r="E1412" s="3" t="s">
        <v>2323</v>
      </c>
      <c r="F1412" s="4">
        <v>43531</v>
      </c>
      <c r="G1412" s="3"/>
      <c r="H1412" s="3"/>
      <c r="I1412" s="3" t="s">
        <v>7043</v>
      </c>
      <c r="J1412" s="3"/>
      <c r="K1412" s="3"/>
      <c r="L1412" s="5"/>
    </row>
    <row r="1413" spans="1:12" ht="28.8" x14ac:dyDescent="0.55000000000000004">
      <c r="A1413" s="9" t="str">
        <f>HYPERLINK("PDF\FOIA-FWS-2020-00724-0001412.pdf","FOIA-FWS-2020-00724-0001412")</f>
        <v>FOIA-FWS-2020-00724-0001412</v>
      </c>
      <c r="B1413" s="3" t="s">
        <v>2577</v>
      </c>
      <c r="C1413" s="3" t="s">
        <v>3</v>
      </c>
      <c r="D1413" s="3" t="s">
        <v>33</v>
      </c>
      <c r="E1413" s="3" t="s">
        <v>2323</v>
      </c>
      <c r="F1413" s="4">
        <v>43531</v>
      </c>
      <c r="G1413" s="3"/>
      <c r="H1413" s="3"/>
      <c r="I1413" s="3" t="s">
        <v>7043</v>
      </c>
      <c r="J1413" s="3"/>
      <c r="K1413" s="3"/>
      <c r="L1413" s="5"/>
    </row>
    <row r="1414" spans="1:12" ht="28.8" x14ac:dyDescent="0.55000000000000004">
      <c r="A1414" s="9" t="str">
        <f>HYPERLINK("PDF\FOIA-FWS-2020-00724-0001413.pdf","FOIA-FWS-2020-00724-0001413")</f>
        <v>FOIA-FWS-2020-00724-0001413</v>
      </c>
      <c r="B1414" s="3" t="s">
        <v>2578</v>
      </c>
      <c r="C1414" s="3" t="s">
        <v>3</v>
      </c>
      <c r="D1414" s="3" t="s">
        <v>33</v>
      </c>
      <c r="E1414" s="3" t="s">
        <v>2323</v>
      </c>
      <c r="F1414" s="4">
        <v>43531</v>
      </c>
      <c r="G1414" s="3"/>
      <c r="H1414" s="3"/>
      <c r="I1414" s="3" t="s">
        <v>7043</v>
      </c>
      <c r="J1414" s="3"/>
      <c r="K1414" s="3"/>
      <c r="L1414" s="5"/>
    </row>
    <row r="1415" spans="1:12" ht="28.8" x14ac:dyDescent="0.55000000000000004">
      <c r="A1415" s="9" t="str">
        <f>HYPERLINK("PDF\FOIA-FWS-2020-00724-0001414.pdf","FOIA-FWS-2020-00724-0001414")</f>
        <v>FOIA-FWS-2020-00724-0001414</v>
      </c>
      <c r="B1415" s="3" t="s">
        <v>2579</v>
      </c>
      <c r="C1415" s="3" t="s">
        <v>3</v>
      </c>
      <c r="D1415" s="3" t="s">
        <v>33</v>
      </c>
      <c r="E1415" s="3" t="s">
        <v>2255</v>
      </c>
      <c r="F1415" s="4">
        <v>43531</v>
      </c>
      <c r="G1415" s="3"/>
      <c r="H1415" s="3"/>
      <c r="I1415" s="3" t="s">
        <v>7043</v>
      </c>
      <c r="J1415" s="3"/>
      <c r="K1415" s="3"/>
      <c r="L1415" s="5"/>
    </row>
    <row r="1416" spans="1:12" ht="28.8" x14ac:dyDescent="0.55000000000000004">
      <c r="A1416" s="9" t="str">
        <f>HYPERLINK("PDF\FOIA-FWS-2020-00724-0001415.pdf","FOIA-FWS-2020-00724-0001415")</f>
        <v>FOIA-FWS-2020-00724-0001415</v>
      </c>
      <c r="B1416" s="3" t="s">
        <v>2580</v>
      </c>
      <c r="C1416" s="3" t="s">
        <v>3</v>
      </c>
      <c r="D1416" s="3" t="s">
        <v>33</v>
      </c>
      <c r="E1416" s="3" t="s">
        <v>2581</v>
      </c>
      <c r="F1416" s="4">
        <v>43531.008333333331</v>
      </c>
      <c r="G1416" s="3" t="s">
        <v>1719</v>
      </c>
      <c r="H1416" s="3" t="s">
        <v>945</v>
      </c>
      <c r="I1416" s="3" t="s">
        <v>7043</v>
      </c>
      <c r="J1416" s="3"/>
      <c r="K1416" s="3"/>
      <c r="L1416" s="5"/>
    </row>
    <row r="1417" spans="1:12" ht="28.8" x14ac:dyDescent="0.55000000000000004">
      <c r="A1417" s="9" t="str">
        <f>HYPERLINK("PDF\FOIA-FWS-2020-00724-0001416.pdf","FOIA-FWS-2020-00724-0001416")</f>
        <v>FOIA-FWS-2020-00724-0001416</v>
      </c>
      <c r="B1417" s="3" t="s">
        <v>2582</v>
      </c>
      <c r="C1417" s="3" t="s">
        <v>3</v>
      </c>
      <c r="D1417" s="3" t="s">
        <v>33</v>
      </c>
      <c r="E1417" s="3" t="s">
        <v>2584</v>
      </c>
      <c r="F1417" s="4">
        <v>43531.456944444442</v>
      </c>
      <c r="G1417" s="3" t="s">
        <v>2166</v>
      </c>
      <c r="H1417" s="3" t="s">
        <v>2583</v>
      </c>
      <c r="I1417" s="3" t="s">
        <v>7043</v>
      </c>
      <c r="J1417" s="3"/>
      <c r="K1417" s="3"/>
      <c r="L1417" s="5"/>
    </row>
    <row r="1418" spans="1:12" ht="28.8" x14ac:dyDescent="0.55000000000000004">
      <c r="A1418" s="9" t="str">
        <f>HYPERLINK("PDF\FOIA-FWS-2020-00724-0001417.pdf","FOIA-FWS-2020-00724-0001417")</f>
        <v>FOIA-FWS-2020-00724-0001417</v>
      </c>
      <c r="B1418" s="3" t="s">
        <v>2582</v>
      </c>
      <c r="C1418" s="3" t="s">
        <v>234</v>
      </c>
      <c r="D1418" s="3" t="s">
        <v>4</v>
      </c>
      <c r="E1418" s="3" t="s">
        <v>2585</v>
      </c>
      <c r="F1418" s="4">
        <v>43531.456944444442</v>
      </c>
      <c r="G1418" s="3"/>
      <c r="H1418" s="3"/>
      <c r="I1418" s="3" t="s">
        <v>7043</v>
      </c>
      <c r="J1418" s="3"/>
      <c r="K1418" s="3"/>
      <c r="L1418" s="5"/>
    </row>
    <row r="1419" spans="1:12" ht="28.8" x14ac:dyDescent="0.55000000000000004">
      <c r="A1419" s="9" t="str">
        <f>HYPERLINK("PDF\FOIA-FWS-2020-00724-0001418.pdf","FOIA-FWS-2020-00724-0001418")</f>
        <v>FOIA-FWS-2020-00724-0001418</v>
      </c>
      <c r="B1419" s="3" t="s">
        <v>2586</v>
      </c>
      <c r="C1419" s="3" t="s">
        <v>3</v>
      </c>
      <c r="D1419" s="3" t="s">
        <v>33</v>
      </c>
      <c r="E1419" s="3" t="s">
        <v>2581</v>
      </c>
      <c r="F1419" s="4">
        <v>43531.468055555553</v>
      </c>
      <c r="G1419" s="3" t="s">
        <v>955</v>
      </c>
      <c r="H1419" s="3" t="s">
        <v>945</v>
      </c>
      <c r="I1419" s="3" t="s">
        <v>7043</v>
      </c>
      <c r="J1419" s="3"/>
      <c r="K1419" s="3"/>
      <c r="L1419" s="5"/>
    </row>
    <row r="1420" spans="1:12" ht="28.8" x14ac:dyDescent="0.55000000000000004">
      <c r="A1420" s="9" t="str">
        <f>HYPERLINK("PDF\FOIA-FWS-2020-00724-0001419.pdf","FOIA-FWS-2020-00724-0001419")</f>
        <v>FOIA-FWS-2020-00724-0001419</v>
      </c>
      <c r="B1420" s="3" t="s">
        <v>2587</v>
      </c>
      <c r="C1420" s="3" t="s">
        <v>3</v>
      </c>
      <c r="D1420" s="3" t="s">
        <v>33</v>
      </c>
      <c r="E1420" s="3" t="s">
        <v>2589</v>
      </c>
      <c r="F1420" s="4">
        <v>43531.48541666667</v>
      </c>
      <c r="G1420" s="3" t="s">
        <v>2166</v>
      </c>
      <c r="H1420" s="3" t="s">
        <v>2588</v>
      </c>
      <c r="I1420" s="3" t="s">
        <v>7043</v>
      </c>
      <c r="J1420" s="3"/>
      <c r="K1420" s="3"/>
      <c r="L1420" s="5"/>
    </row>
    <row r="1421" spans="1:12" ht="28.8" x14ac:dyDescent="0.55000000000000004">
      <c r="A1421" s="9" t="str">
        <f>HYPERLINK("PDF\FOIA-FWS-2020-00724-0001420.pdf","FOIA-FWS-2020-00724-0001420")</f>
        <v>FOIA-FWS-2020-00724-0001420</v>
      </c>
      <c r="B1421" s="3" t="s">
        <v>2590</v>
      </c>
      <c r="C1421" s="3" t="s">
        <v>3</v>
      </c>
      <c r="D1421" s="3" t="s">
        <v>33</v>
      </c>
      <c r="E1421" s="3" t="s">
        <v>2592</v>
      </c>
      <c r="F1421" s="4">
        <v>43531.55</v>
      </c>
      <c r="G1421" s="3" t="s">
        <v>955</v>
      </c>
      <c r="H1421" s="3" t="s">
        <v>2591</v>
      </c>
      <c r="I1421" s="3" t="s">
        <v>7043</v>
      </c>
      <c r="J1421" s="3"/>
      <c r="K1421" s="3"/>
      <c r="L1421" s="5"/>
    </row>
    <row r="1422" spans="1:12" ht="28.8" x14ac:dyDescent="0.55000000000000004">
      <c r="A1422" s="9" t="str">
        <f>HYPERLINK("PDF\FOIA-FWS-2020-00724-0001421.pdf","FOIA-FWS-2020-00724-0001421")</f>
        <v>FOIA-FWS-2020-00724-0001421</v>
      </c>
      <c r="B1422" s="3" t="s">
        <v>2593</v>
      </c>
      <c r="C1422" s="3" t="s">
        <v>3</v>
      </c>
      <c r="D1422" s="3" t="s">
        <v>33</v>
      </c>
      <c r="E1422" s="3" t="s">
        <v>2594</v>
      </c>
      <c r="F1422" s="4">
        <v>43531.561805555553</v>
      </c>
      <c r="G1422" s="3" t="s">
        <v>963</v>
      </c>
      <c r="H1422" s="3" t="s">
        <v>919</v>
      </c>
      <c r="I1422" s="3" t="s">
        <v>7043</v>
      </c>
      <c r="J1422" s="3"/>
      <c r="K1422" s="3"/>
      <c r="L1422" s="5"/>
    </row>
    <row r="1423" spans="1:12" ht="28.8" x14ac:dyDescent="0.55000000000000004">
      <c r="A1423" s="9" t="str">
        <f>HYPERLINK("PDF\FOIA-FWS-2020-00724-0001422.pdf","FOIA-FWS-2020-00724-0001422")</f>
        <v>FOIA-FWS-2020-00724-0001422</v>
      </c>
      <c r="B1423" s="3" t="s">
        <v>2595</v>
      </c>
      <c r="C1423" s="3" t="s">
        <v>3</v>
      </c>
      <c r="D1423" s="3" t="s">
        <v>33</v>
      </c>
      <c r="E1423" s="3" t="s">
        <v>2597</v>
      </c>
      <c r="F1423" s="4">
        <v>43531.581250000003</v>
      </c>
      <c r="G1423" s="3" t="s">
        <v>2565</v>
      </c>
      <c r="H1423" s="3" t="s">
        <v>2596</v>
      </c>
      <c r="I1423" s="3" t="s">
        <v>7043</v>
      </c>
      <c r="J1423" s="3"/>
      <c r="K1423" s="3"/>
      <c r="L1423" s="5"/>
    </row>
    <row r="1424" spans="1:12" ht="28.8" x14ac:dyDescent="0.55000000000000004">
      <c r="A1424" s="9" t="str">
        <f>HYPERLINK("PDF\FOIA-FWS-2020-00724-0001423.pdf","FOIA-FWS-2020-00724-0001423")</f>
        <v>FOIA-FWS-2020-00724-0001423</v>
      </c>
      <c r="B1424" s="3" t="s">
        <v>2595</v>
      </c>
      <c r="C1424" s="3" t="s">
        <v>234</v>
      </c>
      <c r="D1424" s="3" t="s">
        <v>33</v>
      </c>
      <c r="E1424" s="3" t="s">
        <v>2598</v>
      </c>
      <c r="F1424" s="4">
        <v>43531.581250000003</v>
      </c>
      <c r="G1424" s="3"/>
      <c r="H1424" s="3"/>
      <c r="I1424" s="3" t="s">
        <v>7043</v>
      </c>
      <c r="J1424" s="3"/>
      <c r="K1424" s="3"/>
      <c r="L1424" s="5"/>
    </row>
    <row r="1425" spans="1:12" ht="28.8" x14ac:dyDescent="0.55000000000000004">
      <c r="A1425" s="9" t="str">
        <f>HYPERLINK("PDF\FOIA-FWS-2020-00724-0001424.pdf","FOIA-FWS-2020-00724-0001424")</f>
        <v>FOIA-FWS-2020-00724-0001424</v>
      </c>
      <c r="B1425" s="3" t="s">
        <v>2599</v>
      </c>
      <c r="C1425" s="3" t="s">
        <v>3</v>
      </c>
      <c r="D1425" s="3" t="s">
        <v>33</v>
      </c>
      <c r="E1425" s="3" t="s">
        <v>2600</v>
      </c>
      <c r="F1425" s="4">
        <v>43531.625694444447</v>
      </c>
      <c r="G1425" s="3" t="s">
        <v>1392</v>
      </c>
      <c r="H1425" s="3" t="s">
        <v>955</v>
      </c>
      <c r="I1425" s="3" t="s">
        <v>7043</v>
      </c>
      <c r="J1425" s="3"/>
      <c r="K1425" s="3"/>
      <c r="L1425" s="5"/>
    </row>
    <row r="1426" spans="1:12" ht="28.8" x14ac:dyDescent="0.55000000000000004">
      <c r="A1426" s="9" t="str">
        <f>HYPERLINK("PDF\FOIA-FWS-2020-00724-0001425.pdf","FOIA-FWS-2020-00724-0001425")</f>
        <v>FOIA-FWS-2020-00724-0001425</v>
      </c>
      <c r="B1426" s="3" t="s">
        <v>2601</v>
      </c>
      <c r="C1426" s="3" t="s">
        <v>3</v>
      </c>
      <c r="D1426" s="3" t="s">
        <v>33</v>
      </c>
      <c r="E1426" s="3" t="s">
        <v>2602</v>
      </c>
      <c r="F1426" s="4">
        <v>43531.651388888888</v>
      </c>
      <c r="G1426" s="3" t="s">
        <v>1269</v>
      </c>
      <c r="H1426" s="3" t="s">
        <v>1250</v>
      </c>
      <c r="I1426" s="3" t="s">
        <v>7043</v>
      </c>
      <c r="J1426" s="3"/>
      <c r="K1426" s="3"/>
      <c r="L1426" s="5"/>
    </row>
    <row r="1427" spans="1:12" ht="28.8" x14ac:dyDescent="0.55000000000000004">
      <c r="A1427" s="9" t="str">
        <f>HYPERLINK("PDF\FOIA-FWS-2020-00724-0001426.pdf","FOIA-FWS-2020-00724-0001426")</f>
        <v>FOIA-FWS-2020-00724-0001426</v>
      </c>
      <c r="B1427" s="3" t="s">
        <v>2603</v>
      </c>
      <c r="C1427" s="3" t="s">
        <v>3</v>
      </c>
      <c r="D1427" s="3" t="s">
        <v>33</v>
      </c>
      <c r="E1427" s="3" t="s">
        <v>2604</v>
      </c>
      <c r="F1427" s="4">
        <v>43531.669444444444</v>
      </c>
      <c r="G1427" s="3" t="s">
        <v>963</v>
      </c>
      <c r="H1427" s="3" t="s">
        <v>872</v>
      </c>
      <c r="I1427" s="3" t="s">
        <v>7043</v>
      </c>
      <c r="J1427" s="3"/>
      <c r="K1427" s="3"/>
      <c r="L1427" s="5"/>
    </row>
    <row r="1428" spans="1:12" ht="28.8" x14ac:dyDescent="0.55000000000000004">
      <c r="A1428" s="9" t="str">
        <f>HYPERLINK("PDF\FOIA-FWS-2020-00724-0001427.pdf","FOIA-FWS-2020-00724-0001427")</f>
        <v>FOIA-FWS-2020-00724-0001427</v>
      </c>
      <c r="B1428" s="3" t="s">
        <v>2603</v>
      </c>
      <c r="C1428" s="3" t="s">
        <v>234</v>
      </c>
      <c r="D1428" s="3" t="s">
        <v>160</v>
      </c>
      <c r="E1428" s="3" t="s">
        <v>2605</v>
      </c>
      <c r="F1428" s="4">
        <v>43531.669444444444</v>
      </c>
      <c r="G1428" s="3"/>
      <c r="H1428" s="3"/>
      <c r="I1428" s="3" t="s">
        <v>7043</v>
      </c>
      <c r="J1428" s="3"/>
      <c r="K1428" s="3"/>
      <c r="L1428" s="5" t="str">
        <f>HYPERLINK("NATIVE_FILES\FOIA-FWS-2020-00724-0001427.xlsx","FOIA-FWS-2020-00724-0001427.xlsx")</f>
        <v>FOIA-FWS-2020-00724-0001427.xlsx</v>
      </c>
    </row>
    <row r="1429" spans="1:12" ht="43.2" x14ac:dyDescent="0.55000000000000004">
      <c r="A1429" s="9" t="str">
        <f>HYPERLINK("PDF\FOIA-FWS-2020-00724-0001428.pdf","FOIA-FWS-2020-00724-0001428")</f>
        <v>FOIA-FWS-2020-00724-0001428</v>
      </c>
      <c r="B1429" s="3" t="s">
        <v>2606</v>
      </c>
      <c r="C1429" s="3" t="s">
        <v>3</v>
      </c>
      <c r="D1429" s="3" t="s">
        <v>4</v>
      </c>
      <c r="E1429" s="3" t="s">
        <v>2607</v>
      </c>
      <c r="F1429" s="4">
        <v>43532</v>
      </c>
      <c r="G1429" s="3"/>
      <c r="H1429" s="3"/>
      <c r="I1429" s="3" t="s">
        <v>7043</v>
      </c>
      <c r="J1429" s="3"/>
      <c r="K1429" s="3"/>
      <c r="L1429" s="5"/>
    </row>
    <row r="1430" spans="1:12" ht="28.8" x14ac:dyDescent="0.55000000000000004">
      <c r="A1430" s="9" t="str">
        <f>HYPERLINK("PDF\FOIA-FWS-2020-00724-0001429.pdf","FOIA-FWS-2020-00724-0001429")</f>
        <v>FOIA-FWS-2020-00724-0001429</v>
      </c>
      <c r="B1430" s="3" t="s">
        <v>2608</v>
      </c>
      <c r="C1430" s="3" t="s">
        <v>3</v>
      </c>
      <c r="D1430" s="3" t="s">
        <v>160</v>
      </c>
      <c r="E1430" s="3" t="s">
        <v>2609</v>
      </c>
      <c r="F1430" s="4">
        <v>43532</v>
      </c>
      <c r="G1430" s="3"/>
      <c r="H1430" s="3"/>
      <c r="I1430" s="3" t="s">
        <v>7043</v>
      </c>
      <c r="J1430" s="3"/>
      <c r="K1430" s="3"/>
      <c r="L1430" s="5"/>
    </row>
    <row r="1431" spans="1:12" ht="28.8" x14ac:dyDescent="0.55000000000000004">
      <c r="A1431" s="9" t="str">
        <f>HYPERLINK("PDF\FOIA-FWS-2020-00724-0001430.pdf","FOIA-FWS-2020-00724-0001430")</f>
        <v>FOIA-FWS-2020-00724-0001430</v>
      </c>
      <c r="B1431" s="3" t="s">
        <v>2610</v>
      </c>
      <c r="C1431" s="3" t="s">
        <v>3</v>
      </c>
      <c r="D1431" s="3" t="s">
        <v>33</v>
      </c>
      <c r="E1431" s="3" t="s">
        <v>2612</v>
      </c>
      <c r="F1431" s="4">
        <v>43532.552777777775</v>
      </c>
      <c r="G1431" s="3" t="s">
        <v>1874</v>
      </c>
      <c r="H1431" s="3" t="s">
        <v>2611</v>
      </c>
      <c r="I1431" s="3" t="s">
        <v>7048</v>
      </c>
      <c r="J1431" s="3" t="s">
        <v>7050</v>
      </c>
      <c r="K1431" s="3" t="s">
        <v>7036</v>
      </c>
      <c r="L1431" s="5"/>
    </row>
    <row r="1432" spans="1:12" ht="28.8" x14ac:dyDescent="0.55000000000000004">
      <c r="A1432" s="9" t="str">
        <f>HYPERLINK("PDF\FOIA-FWS-2020-00724-0001431.pdf","FOIA-FWS-2020-00724-0001431")</f>
        <v>FOIA-FWS-2020-00724-0001431</v>
      </c>
      <c r="B1432" s="3" t="s">
        <v>2613</v>
      </c>
      <c r="C1432" s="3" t="s">
        <v>3</v>
      </c>
      <c r="D1432" s="3" t="s">
        <v>33</v>
      </c>
      <c r="E1432" s="3" t="s">
        <v>2615</v>
      </c>
      <c r="F1432" s="4">
        <v>43532.691666666666</v>
      </c>
      <c r="G1432" s="3" t="s">
        <v>2614</v>
      </c>
      <c r="H1432" s="3" t="s">
        <v>1392</v>
      </c>
      <c r="I1432" s="3" t="s">
        <v>7043</v>
      </c>
      <c r="J1432" s="3"/>
      <c r="K1432" s="3"/>
      <c r="L1432" s="5"/>
    </row>
    <row r="1433" spans="1:12" ht="28.8" x14ac:dyDescent="0.55000000000000004">
      <c r="A1433" s="9" t="str">
        <f>HYPERLINK("PDF\FOIA-FWS-2020-00724-0001432.pdf","FOIA-FWS-2020-00724-0001432")</f>
        <v>FOIA-FWS-2020-00724-0001432</v>
      </c>
      <c r="B1433" s="3" t="s">
        <v>2613</v>
      </c>
      <c r="C1433" s="3" t="s">
        <v>234</v>
      </c>
      <c r="D1433" s="3" t="s">
        <v>4</v>
      </c>
      <c r="E1433" s="3" t="s">
        <v>2616</v>
      </c>
      <c r="F1433" s="4">
        <v>43532.691666666666</v>
      </c>
      <c r="G1433" s="3"/>
      <c r="H1433" s="3"/>
      <c r="I1433" s="3" t="s">
        <v>7043</v>
      </c>
      <c r="J1433" s="3"/>
      <c r="K1433" s="3"/>
      <c r="L1433" s="5"/>
    </row>
    <row r="1434" spans="1:12" ht="28.8" x14ac:dyDescent="0.55000000000000004">
      <c r="A1434" s="9" t="str">
        <f>HYPERLINK("PDF\FOIA-FWS-2020-00724-0001433.pdf","FOIA-FWS-2020-00724-0001433")</f>
        <v>FOIA-FWS-2020-00724-0001433</v>
      </c>
      <c r="B1434" s="3" t="s">
        <v>2617</v>
      </c>
      <c r="C1434" s="3" t="s">
        <v>3</v>
      </c>
      <c r="D1434" s="3" t="s">
        <v>33</v>
      </c>
      <c r="E1434" s="3" t="s">
        <v>2618</v>
      </c>
      <c r="F1434" s="4">
        <v>43532.768750000003</v>
      </c>
      <c r="G1434" s="3" t="s">
        <v>1119</v>
      </c>
      <c r="H1434" s="3" t="s">
        <v>1688</v>
      </c>
      <c r="I1434" s="3" t="s">
        <v>7043</v>
      </c>
      <c r="J1434" s="3"/>
      <c r="K1434" s="3"/>
      <c r="L1434" s="5"/>
    </row>
    <row r="1435" spans="1:12" ht="28.8" x14ac:dyDescent="0.55000000000000004">
      <c r="A1435" s="9" t="str">
        <f>HYPERLINK("PDF\FOIA-FWS-2020-00724-0001434.pdf","FOIA-FWS-2020-00724-0001434")</f>
        <v>FOIA-FWS-2020-00724-0001434</v>
      </c>
      <c r="B1435" s="3" t="s">
        <v>2619</v>
      </c>
      <c r="C1435" s="3" t="s">
        <v>3</v>
      </c>
      <c r="D1435" s="3" t="s">
        <v>33</v>
      </c>
      <c r="E1435" s="3" t="s">
        <v>2620</v>
      </c>
      <c r="F1435" s="4">
        <v>43535</v>
      </c>
      <c r="G1435" s="3"/>
      <c r="H1435" s="3"/>
      <c r="I1435" s="3" t="s">
        <v>7043</v>
      </c>
      <c r="J1435" s="3"/>
      <c r="K1435" s="3"/>
      <c r="L1435" s="5"/>
    </row>
    <row r="1436" spans="1:12" ht="28.8" x14ac:dyDescent="0.55000000000000004">
      <c r="A1436" s="9" t="str">
        <f>HYPERLINK("PDF\FOIA-FWS-2020-00724-0001435.pdf","FOIA-FWS-2020-00724-0001435")</f>
        <v>FOIA-FWS-2020-00724-0001435</v>
      </c>
      <c r="B1436" s="3" t="s">
        <v>2621</v>
      </c>
      <c r="C1436" s="3" t="s">
        <v>3</v>
      </c>
      <c r="D1436" s="3" t="s">
        <v>33</v>
      </c>
      <c r="E1436" s="3" t="s">
        <v>2622</v>
      </c>
      <c r="F1436" s="4">
        <v>43535.48541666667</v>
      </c>
      <c r="G1436" s="3" t="s">
        <v>919</v>
      </c>
      <c r="H1436" s="3" t="s">
        <v>872</v>
      </c>
      <c r="I1436" s="3" t="s">
        <v>7043</v>
      </c>
      <c r="J1436" s="3"/>
      <c r="K1436" s="3"/>
      <c r="L1436" s="5"/>
    </row>
    <row r="1437" spans="1:12" ht="28.8" x14ac:dyDescent="0.55000000000000004">
      <c r="A1437" s="9" t="str">
        <f>HYPERLINK("PDF\FOIA-FWS-2020-00724-0001436.pdf","FOIA-FWS-2020-00724-0001436")</f>
        <v>FOIA-FWS-2020-00724-0001436</v>
      </c>
      <c r="B1437" s="3" t="s">
        <v>2623</v>
      </c>
      <c r="C1437" s="3" t="s">
        <v>3</v>
      </c>
      <c r="D1437" s="3" t="s">
        <v>33</v>
      </c>
      <c r="E1437" s="3" t="s">
        <v>2624</v>
      </c>
      <c r="F1437" s="4">
        <v>43535.619444444441</v>
      </c>
      <c r="G1437" s="3" t="s">
        <v>963</v>
      </c>
      <c r="H1437" s="3" t="s">
        <v>955</v>
      </c>
      <c r="I1437" s="3" t="s">
        <v>7043</v>
      </c>
      <c r="J1437" s="3"/>
      <c r="K1437" s="3"/>
      <c r="L1437" s="5"/>
    </row>
    <row r="1438" spans="1:12" ht="28.8" x14ac:dyDescent="0.55000000000000004">
      <c r="A1438" s="9" t="str">
        <f>HYPERLINK("PDF\FOIA-FWS-2020-00724-0001437.pdf","FOIA-FWS-2020-00724-0001437")</f>
        <v>FOIA-FWS-2020-00724-0001437</v>
      </c>
      <c r="B1438" s="3" t="s">
        <v>2625</v>
      </c>
      <c r="C1438" s="3" t="s">
        <v>3</v>
      </c>
      <c r="D1438" s="3" t="s">
        <v>33</v>
      </c>
      <c r="E1438" s="3" t="s">
        <v>2628</v>
      </c>
      <c r="F1438" s="4">
        <v>43535.643750000003</v>
      </c>
      <c r="G1438" s="3" t="s">
        <v>2626</v>
      </c>
      <c r="H1438" s="3" t="s">
        <v>2627</v>
      </c>
      <c r="I1438" s="3" t="s">
        <v>7043</v>
      </c>
      <c r="J1438" s="3"/>
      <c r="K1438" s="3"/>
      <c r="L1438" s="5"/>
    </row>
    <row r="1439" spans="1:12" ht="28.8" x14ac:dyDescent="0.55000000000000004">
      <c r="A1439" s="9" t="str">
        <f>HYPERLINK("PDF\FOIA-FWS-2020-00724-0001438.pdf","FOIA-FWS-2020-00724-0001438")</f>
        <v>FOIA-FWS-2020-00724-0001438</v>
      </c>
      <c r="B1439" s="3" t="s">
        <v>2629</v>
      </c>
      <c r="C1439" s="3" t="s">
        <v>3</v>
      </c>
      <c r="D1439" s="3" t="s">
        <v>33</v>
      </c>
      <c r="E1439" s="3" t="s">
        <v>2630</v>
      </c>
      <c r="F1439" s="4">
        <v>43535.728472222225</v>
      </c>
      <c r="G1439" s="3" t="s">
        <v>963</v>
      </c>
      <c r="H1439" s="3" t="s">
        <v>955</v>
      </c>
      <c r="I1439" s="3" t="s">
        <v>7043</v>
      </c>
      <c r="J1439" s="3"/>
      <c r="K1439" s="3"/>
      <c r="L1439" s="5"/>
    </row>
    <row r="1440" spans="1:12" ht="28.8" x14ac:dyDescent="0.55000000000000004">
      <c r="A1440" s="9" t="str">
        <f>HYPERLINK("PDF\FOIA-FWS-2020-00724-0001439.pdf","FOIA-FWS-2020-00724-0001439")</f>
        <v>FOIA-FWS-2020-00724-0001439</v>
      </c>
      <c r="B1440" s="3" t="s">
        <v>2631</v>
      </c>
      <c r="C1440" s="3" t="s">
        <v>3</v>
      </c>
      <c r="D1440" s="3" t="s">
        <v>33</v>
      </c>
      <c r="E1440" s="3" t="s">
        <v>2632</v>
      </c>
      <c r="F1440" s="4">
        <v>43536.40902777778</v>
      </c>
      <c r="G1440" s="3" t="s">
        <v>955</v>
      </c>
      <c r="H1440" s="3" t="s">
        <v>1119</v>
      </c>
      <c r="I1440" s="3" t="s">
        <v>7043</v>
      </c>
      <c r="J1440" s="3"/>
      <c r="K1440" s="3"/>
      <c r="L1440" s="5"/>
    </row>
    <row r="1441" spans="1:12" ht="28.8" x14ac:dyDescent="0.55000000000000004">
      <c r="A1441" s="9" t="str">
        <f>HYPERLINK("PDF\FOIA-FWS-2020-00724-0001440.pdf","FOIA-FWS-2020-00724-0001440")</f>
        <v>FOIA-FWS-2020-00724-0001440</v>
      </c>
      <c r="B1441" s="3" t="s">
        <v>2631</v>
      </c>
      <c r="C1441" s="3" t="s">
        <v>234</v>
      </c>
      <c r="D1441" s="3" t="s">
        <v>4</v>
      </c>
      <c r="E1441" s="3" t="s">
        <v>2633</v>
      </c>
      <c r="F1441" s="4">
        <v>43536.40902777778</v>
      </c>
      <c r="G1441" s="3"/>
      <c r="H1441" s="3"/>
      <c r="I1441" s="3" t="s">
        <v>7043</v>
      </c>
      <c r="J1441" s="3"/>
      <c r="K1441" s="3"/>
      <c r="L1441" s="5"/>
    </row>
    <row r="1442" spans="1:12" ht="28.8" x14ac:dyDescent="0.55000000000000004">
      <c r="A1442" s="9" t="str">
        <f>HYPERLINK("PDF\FOIA-FWS-2020-00724-0001441.pdf","FOIA-FWS-2020-00724-0001441")</f>
        <v>FOIA-FWS-2020-00724-0001441</v>
      </c>
      <c r="B1442" s="3" t="s">
        <v>2634</v>
      </c>
      <c r="C1442" s="3" t="s">
        <v>3</v>
      </c>
      <c r="D1442" s="3" t="s">
        <v>33</v>
      </c>
      <c r="E1442" s="3" t="s">
        <v>2635</v>
      </c>
      <c r="F1442" s="4">
        <v>43536.500694444447</v>
      </c>
      <c r="G1442" s="3" t="s">
        <v>1119</v>
      </c>
      <c r="H1442" s="3" t="s">
        <v>955</v>
      </c>
      <c r="I1442" s="3" t="s">
        <v>7043</v>
      </c>
      <c r="J1442" s="3"/>
      <c r="K1442" s="3"/>
      <c r="L1442" s="5"/>
    </row>
    <row r="1443" spans="1:12" ht="28.8" x14ac:dyDescent="0.55000000000000004">
      <c r="A1443" s="9" t="str">
        <f>HYPERLINK("PDF\FOIA-FWS-2020-00724-0001442.pdf","FOIA-FWS-2020-00724-0001442")</f>
        <v>FOIA-FWS-2020-00724-0001442</v>
      </c>
      <c r="B1443" s="3" t="s">
        <v>2634</v>
      </c>
      <c r="C1443" s="3" t="s">
        <v>234</v>
      </c>
      <c r="D1443" s="3" t="s">
        <v>4</v>
      </c>
      <c r="E1443" s="3" t="s">
        <v>2636</v>
      </c>
      <c r="F1443" s="4">
        <v>43536.500694444447</v>
      </c>
      <c r="G1443" s="3"/>
      <c r="H1443" s="3"/>
      <c r="I1443" s="3" t="s">
        <v>7043</v>
      </c>
      <c r="J1443" s="3"/>
      <c r="K1443" s="3"/>
      <c r="L1443" s="5"/>
    </row>
    <row r="1444" spans="1:12" ht="28.8" x14ac:dyDescent="0.55000000000000004">
      <c r="A1444" s="9" t="str">
        <f>HYPERLINK("PDF\FOIA-FWS-2020-00724-0001443.pdf","FOIA-FWS-2020-00724-0001443")</f>
        <v>FOIA-FWS-2020-00724-0001443</v>
      </c>
      <c r="B1444" s="3" t="s">
        <v>2637</v>
      </c>
      <c r="C1444" s="3" t="s">
        <v>3</v>
      </c>
      <c r="D1444" s="3" t="s">
        <v>33</v>
      </c>
      <c r="E1444" s="3" t="s">
        <v>2638</v>
      </c>
      <c r="F1444" s="4">
        <v>43536.53402777778</v>
      </c>
      <c r="G1444" s="3" t="s">
        <v>955</v>
      </c>
      <c r="H1444" s="3" t="s">
        <v>1119</v>
      </c>
      <c r="I1444" s="3" t="s">
        <v>7043</v>
      </c>
      <c r="J1444" s="3"/>
      <c r="K1444" s="3"/>
      <c r="L1444" s="5"/>
    </row>
    <row r="1445" spans="1:12" ht="28.8" x14ac:dyDescent="0.55000000000000004">
      <c r="A1445" s="9" t="str">
        <f>HYPERLINK("PDF\FOIA-FWS-2020-00724-0001444.pdf","FOIA-FWS-2020-00724-0001444")</f>
        <v>FOIA-FWS-2020-00724-0001444</v>
      </c>
      <c r="B1445" s="3" t="s">
        <v>2637</v>
      </c>
      <c r="C1445" s="3" t="s">
        <v>234</v>
      </c>
      <c r="D1445" s="3" t="s">
        <v>4</v>
      </c>
      <c r="E1445" s="3" t="s">
        <v>2639</v>
      </c>
      <c r="F1445" s="4">
        <v>43536.53402777778</v>
      </c>
      <c r="G1445" s="3"/>
      <c r="H1445" s="3"/>
      <c r="I1445" s="3" t="s">
        <v>7043</v>
      </c>
      <c r="J1445" s="3"/>
      <c r="K1445" s="3"/>
      <c r="L1445" s="5"/>
    </row>
    <row r="1446" spans="1:12" ht="28.8" x14ac:dyDescent="0.55000000000000004">
      <c r="A1446" s="9" t="str">
        <f>HYPERLINK("PDF\FOIA-FWS-2020-00724-0001445.pdf","FOIA-FWS-2020-00724-0001445")</f>
        <v>FOIA-FWS-2020-00724-0001445</v>
      </c>
      <c r="B1446" s="3" t="s">
        <v>2640</v>
      </c>
      <c r="C1446" s="3" t="s">
        <v>3</v>
      </c>
      <c r="D1446" s="3" t="s">
        <v>33</v>
      </c>
      <c r="E1446" s="3" t="s">
        <v>2642</v>
      </c>
      <c r="F1446" s="4">
        <v>43536.588194444441</v>
      </c>
      <c r="G1446" s="3" t="s">
        <v>1119</v>
      </c>
      <c r="H1446" s="3" t="s">
        <v>2641</v>
      </c>
      <c r="I1446" s="3" t="s">
        <v>7043</v>
      </c>
      <c r="J1446" s="3"/>
      <c r="K1446" s="3"/>
      <c r="L1446" s="5"/>
    </row>
    <row r="1447" spans="1:12" ht="28.8" x14ac:dyDescent="0.55000000000000004">
      <c r="A1447" s="9" t="str">
        <f>HYPERLINK("PDF\FOIA-FWS-2020-00724-0001446.pdf","FOIA-FWS-2020-00724-0001446")</f>
        <v>FOIA-FWS-2020-00724-0001446</v>
      </c>
      <c r="B1447" s="3" t="s">
        <v>2640</v>
      </c>
      <c r="C1447" s="3" t="s">
        <v>234</v>
      </c>
      <c r="D1447" s="3" t="s">
        <v>4</v>
      </c>
      <c r="E1447" s="3" t="s">
        <v>2643</v>
      </c>
      <c r="F1447" s="4">
        <v>43536.588194444441</v>
      </c>
      <c r="G1447" s="3"/>
      <c r="H1447" s="3"/>
      <c r="I1447" s="3" t="s">
        <v>7043</v>
      </c>
      <c r="J1447" s="3"/>
      <c r="K1447" s="3"/>
      <c r="L1447" s="5"/>
    </row>
    <row r="1448" spans="1:12" ht="28.8" x14ac:dyDescent="0.55000000000000004">
      <c r="A1448" s="9" t="str">
        <f>HYPERLINK("PDF\FOIA-FWS-2020-00724-0001447.pdf","FOIA-FWS-2020-00724-0001447")</f>
        <v>FOIA-FWS-2020-00724-0001447</v>
      </c>
      <c r="B1448" s="3" t="s">
        <v>2644</v>
      </c>
      <c r="C1448" s="3" t="s">
        <v>3</v>
      </c>
      <c r="D1448" s="3" t="s">
        <v>33</v>
      </c>
      <c r="E1448" s="3" t="s">
        <v>2646</v>
      </c>
      <c r="F1448" s="4">
        <v>43536.595138888886</v>
      </c>
      <c r="G1448" s="3" t="s">
        <v>955</v>
      </c>
      <c r="H1448" s="3" t="s">
        <v>2645</v>
      </c>
      <c r="I1448" s="3" t="s">
        <v>7043</v>
      </c>
      <c r="J1448" s="3"/>
      <c r="K1448" s="3"/>
      <c r="L1448" s="5"/>
    </row>
    <row r="1449" spans="1:12" ht="28.8" x14ac:dyDescent="0.55000000000000004">
      <c r="A1449" s="9" t="str">
        <f>HYPERLINK("PDF\FOIA-FWS-2020-00724-0001448.pdf","FOIA-FWS-2020-00724-0001448")</f>
        <v>FOIA-FWS-2020-00724-0001448</v>
      </c>
      <c r="B1449" s="3" t="s">
        <v>2644</v>
      </c>
      <c r="C1449" s="3" t="s">
        <v>234</v>
      </c>
      <c r="D1449" s="3" t="s">
        <v>4</v>
      </c>
      <c r="E1449" s="3" t="s">
        <v>2647</v>
      </c>
      <c r="F1449" s="4">
        <v>43536.595138888886</v>
      </c>
      <c r="G1449" s="3"/>
      <c r="H1449" s="3"/>
      <c r="I1449" s="3" t="s">
        <v>7043</v>
      </c>
      <c r="J1449" s="3"/>
      <c r="K1449" s="3"/>
      <c r="L1449" s="5"/>
    </row>
    <row r="1450" spans="1:12" ht="28.8" x14ac:dyDescent="0.55000000000000004">
      <c r="A1450" s="9" t="str">
        <f>HYPERLINK("PDF\FOIA-FWS-2020-00724-0001449.pdf","FOIA-FWS-2020-00724-0001449")</f>
        <v>FOIA-FWS-2020-00724-0001449</v>
      </c>
      <c r="B1450" s="3" t="s">
        <v>2648</v>
      </c>
      <c r="C1450" s="3" t="s">
        <v>3</v>
      </c>
      <c r="D1450" s="3" t="s">
        <v>33</v>
      </c>
      <c r="E1450" s="3" t="s">
        <v>2650</v>
      </c>
      <c r="F1450" s="4">
        <v>43536.6</v>
      </c>
      <c r="G1450" s="3" t="s">
        <v>1119</v>
      </c>
      <c r="H1450" s="3" t="s">
        <v>2649</v>
      </c>
      <c r="I1450" s="3" t="s">
        <v>864</v>
      </c>
      <c r="J1450" s="3" t="s">
        <v>7046</v>
      </c>
      <c r="K1450" s="3" t="s">
        <v>7036</v>
      </c>
      <c r="L1450" s="5"/>
    </row>
    <row r="1451" spans="1:12" ht="28.8" x14ac:dyDescent="0.55000000000000004">
      <c r="A1451" s="9" t="str">
        <f>HYPERLINK("PDF\FOIA-FWS-2020-00724-0001450.pdf","FOIA-FWS-2020-00724-0001450")</f>
        <v>FOIA-FWS-2020-00724-0001450</v>
      </c>
      <c r="B1451" s="3" t="s">
        <v>2648</v>
      </c>
      <c r="C1451" s="3" t="s">
        <v>234</v>
      </c>
      <c r="D1451" s="3" t="s">
        <v>4</v>
      </c>
      <c r="E1451" s="3" t="s">
        <v>2647</v>
      </c>
      <c r="F1451" s="4">
        <v>43536.6</v>
      </c>
      <c r="G1451" s="3"/>
      <c r="H1451" s="3"/>
      <c r="I1451" s="3" t="s">
        <v>7043</v>
      </c>
      <c r="J1451" s="3"/>
      <c r="K1451" s="3"/>
      <c r="L1451" s="5"/>
    </row>
    <row r="1452" spans="1:12" ht="28.8" x14ac:dyDescent="0.55000000000000004">
      <c r="A1452" s="9" t="str">
        <f>HYPERLINK("PDF\FOIA-FWS-2020-00724-0001451.pdf","FOIA-FWS-2020-00724-0001451")</f>
        <v>FOIA-FWS-2020-00724-0001451</v>
      </c>
      <c r="B1452" s="3" t="s">
        <v>2648</v>
      </c>
      <c r="C1452" s="3" t="s">
        <v>234</v>
      </c>
      <c r="D1452" s="3" t="s">
        <v>4</v>
      </c>
      <c r="E1452" s="3" t="s">
        <v>2651</v>
      </c>
      <c r="F1452" s="4">
        <v>43536.6</v>
      </c>
      <c r="G1452" s="3"/>
      <c r="H1452" s="3"/>
      <c r="I1452" s="3" t="s">
        <v>7043</v>
      </c>
      <c r="J1452" s="3"/>
      <c r="K1452" s="3"/>
      <c r="L1452" s="5"/>
    </row>
    <row r="1453" spans="1:12" ht="28.8" x14ac:dyDescent="0.55000000000000004">
      <c r="A1453" s="9" t="str">
        <f>HYPERLINK("PDF\FOIA-FWS-2020-00724-0001452.pdf","FOIA-FWS-2020-00724-0001452")</f>
        <v>FOIA-FWS-2020-00724-0001452</v>
      </c>
      <c r="B1453" s="3" t="s">
        <v>2652</v>
      </c>
      <c r="C1453" s="3" t="s">
        <v>3</v>
      </c>
      <c r="D1453" s="3" t="s">
        <v>33</v>
      </c>
      <c r="E1453" s="3" t="s">
        <v>2653</v>
      </c>
      <c r="F1453" s="4">
        <v>43536.623611111114</v>
      </c>
      <c r="G1453" s="3" t="s">
        <v>963</v>
      </c>
      <c r="H1453" s="3" t="s">
        <v>945</v>
      </c>
      <c r="I1453" s="3" t="s">
        <v>7043</v>
      </c>
      <c r="J1453" s="3"/>
      <c r="K1453" s="3"/>
      <c r="L1453" s="5"/>
    </row>
    <row r="1454" spans="1:12" ht="28.8" x14ac:dyDescent="0.55000000000000004">
      <c r="A1454" s="9" t="str">
        <f>HYPERLINK("PDF\FOIA-FWS-2020-00724-0001453.pdf","FOIA-FWS-2020-00724-0001453")</f>
        <v>FOIA-FWS-2020-00724-0001453</v>
      </c>
      <c r="B1454" s="3" t="s">
        <v>2654</v>
      </c>
      <c r="C1454" s="3" t="s">
        <v>3</v>
      </c>
      <c r="D1454" s="3" t="s">
        <v>33</v>
      </c>
      <c r="E1454" s="3" t="s">
        <v>2655</v>
      </c>
      <c r="F1454" s="4">
        <v>43536.741666666669</v>
      </c>
      <c r="G1454" s="3" t="s">
        <v>955</v>
      </c>
      <c r="H1454" s="3" t="s">
        <v>2022</v>
      </c>
      <c r="I1454" s="3" t="s">
        <v>7043</v>
      </c>
      <c r="J1454" s="3"/>
      <c r="K1454" s="3"/>
      <c r="L1454" s="5"/>
    </row>
    <row r="1455" spans="1:12" ht="28.8" x14ac:dyDescent="0.55000000000000004">
      <c r="A1455" s="9" t="str">
        <f>HYPERLINK("PDF\FOIA-FWS-2020-00724-0001454.PDF","FOIA-FWS-2020-00724-0001454")</f>
        <v>FOIA-FWS-2020-00724-0001454</v>
      </c>
      <c r="B1455" s="3" t="s">
        <v>2656</v>
      </c>
      <c r="C1455" s="3" t="s">
        <v>3</v>
      </c>
      <c r="D1455" s="3" t="s">
        <v>33</v>
      </c>
      <c r="E1455" s="3" t="s">
        <v>2658</v>
      </c>
      <c r="F1455" s="4">
        <v>43537.395833333336</v>
      </c>
      <c r="G1455" s="3" t="s">
        <v>872</v>
      </c>
      <c r="H1455" s="3" t="s">
        <v>2657</v>
      </c>
      <c r="I1455" s="3" t="s">
        <v>7043</v>
      </c>
      <c r="J1455" s="3"/>
      <c r="K1455" s="3"/>
      <c r="L1455" s="5"/>
    </row>
    <row r="1456" spans="1:12" ht="28.8" x14ac:dyDescent="0.55000000000000004">
      <c r="A1456" s="9" t="str">
        <f>HYPERLINK("PDF\FOIA-FWS-2020-00724-0001455.pdf","FOIA-FWS-2020-00724-0001455")</f>
        <v>FOIA-FWS-2020-00724-0001455</v>
      </c>
      <c r="B1456" s="3" t="s">
        <v>2656</v>
      </c>
      <c r="C1456" s="3" t="s">
        <v>234</v>
      </c>
      <c r="D1456" s="3" t="s">
        <v>4</v>
      </c>
      <c r="E1456" s="3" t="s">
        <v>2660</v>
      </c>
      <c r="F1456" s="4">
        <v>43537.395833333336</v>
      </c>
      <c r="G1456" s="3" t="s">
        <v>2659</v>
      </c>
      <c r="H1456" s="3"/>
      <c r="I1456" s="3" t="s">
        <v>7043</v>
      </c>
      <c r="J1456" s="3"/>
      <c r="K1456" s="3"/>
      <c r="L1456" s="5"/>
    </row>
    <row r="1457" spans="1:12" ht="28.8" x14ac:dyDescent="0.55000000000000004">
      <c r="A1457" s="9" t="str">
        <f>HYPERLINK("PDF\FOIA-FWS-2020-00724-0001456.pdf","FOIA-FWS-2020-00724-0001456")</f>
        <v>FOIA-FWS-2020-00724-0001456</v>
      </c>
      <c r="B1457" s="3" t="s">
        <v>2661</v>
      </c>
      <c r="C1457" s="3" t="s">
        <v>3</v>
      </c>
      <c r="D1457" s="3" t="s">
        <v>33</v>
      </c>
      <c r="E1457" s="3" t="s">
        <v>2662</v>
      </c>
      <c r="F1457" s="4">
        <v>43537.45416666667</v>
      </c>
      <c r="G1457" s="3" t="s">
        <v>963</v>
      </c>
      <c r="H1457" s="3" t="s">
        <v>2022</v>
      </c>
      <c r="I1457" s="3" t="s">
        <v>7043</v>
      </c>
      <c r="J1457" s="3"/>
      <c r="K1457" s="3"/>
      <c r="L1457" s="5"/>
    </row>
    <row r="1458" spans="1:12" ht="28.8" x14ac:dyDescent="0.55000000000000004">
      <c r="A1458" s="9" t="str">
        <f>HYPERLINK("PDF\FOIA-FWS-2020-00724-0001457.pdf","FOIA-FWS-2020-00724-0001457")</f>
        <v>FOIA-FWS-2020-00724-0001457</v>
      </c>
      <c r="B1458" s="3" t="s">
        <v>2663</v>
      </c>
      <c r="C1458" s="3" t="s">
        <v>3</v>
      </c>
      <c r="D1458" s="3" t="s">
        <v>33</v>
      </c>
      <c r="E1458" s="3" t="s">
        <v>2664</v>
      </c>
      <c r="F1458" s="4">
        <v>43537.622916666667</v>
      </c>
      <c r="G1458" s="3" t="s">
        <v>963</v>
      </c>
      <c r="H1458" s="3" t="s">
        <v>945</v>
      </c>
      <c r="I1458" s="3" t="s">
        <v>7043</v>
      </c>
      <c r="J1458" s="3"/>
      <c r="K1458" s="3"/>
      <c r="L1458" s="5"/>
    </row>
    <row r="1459" spans="1:12" ht="28.8" x14ac:dyDescent="0.55000000000000004">
      <c r="A1459" s="9" t="str">
        <f>HYPERLINK("PDF\FOIA-FWS-2020-00724-0001458.pdf","FOIA-FWS-2020-00724-0001458")</f>
        <v>FOIA-FWS-2020-00724-0001458</v>
      </c>
      <c r="B1459" s="3" t="s">
        <v>2665</v>
      </c>
      <c r="C1459" s="3" t="s">
        <v>3</v>
      </c>
      <c r="D1459" s="3" t="s">
        <v>33</v>
      </c>
      <c r="E1459" s="3" t="s">
        <v>2666</v>
      </c>
      <c r="F1459" s="4">
        <v>43537.625</v>
      </c>
      <c r="G1459" s="3" t="s">
        <v>872</v>
      </c>
      <c r="H1459" s="3" t="s">
        <v>963</v>
      </c>
      <c r="I1459" s="3" t="s">
        <v>7043</v>
      </c>
      <c r="J1459" s="3"/>
      <c r="K1459" s="3"/>
      <c r="L1459" s="5"/>
    </row>
    <row r="1460" spans="1:12" ht="28.8" x14ac:dyDescent="0.55000000000000004">
      <c r="A1460" s="9" t="str">
        <f>HYPERLINK("PDF\FOIA-FWS-2020-00724-0001459.pdf","FOIA-FWS-2020-00724-0001459")</f>
        <v>FOIA-FWS-2020-00724-0001459</v>
      </c>
      <c r="B1460" s="3" t="s">
        <v>2665</v>
      </c>
      <c r="C1460" s="3" t="s">
        <v>234</v>
      </c>
      <c r="D1460" s="3" t="s">
        <v>4</v>
      </c>
      <c r="E1460" s="3" t="s">
        <v>2667</v>
      </c>
      <c r="F1460" s="4">
        <v>43537.625</v>
      </c>
      <c r="G1460" s="3"/>
      <c r="H1460" s="3"/>
      <c r="I1460" s="3" t="s">
        <v>7043</v>
      </c>
      <c r="J1460" s="3"/>
      <c r="K1460" s="3"/>
      <c r="L1460" s="5"/>
    </row>
    <row r="1461" spans="1:12" ht="28.8" x14ac:dyDescent="0.55000000000000004">
      <c r="A1461" s="9" t="str">
        <f>HYPERLINK("PDF\FOIA-FWS-2020-00724-0001460.pdf","FOIA-FWS-2020-00724-0001460")</f>
        <v>FOIA-FWS-2020-00724-0001460</v>
      </c>
      <c r="B1461" s="3" t="s">
        <v>2668</v>
      </c>
      <c r="C1461" s="3" t="s">
        <v>3</v>
      </c>
      <c r="D1461" s="3" t="s">
        <v>33</v>
      </c>
      <c r="E1461" s="3" t="s">
        <v>2669</v>
      </c>
      <c r="F1461" s="4">
        <v>43537.75</v>
      </c>
      <c r="G1461" s="3" t="s">
        <v>2211</v>
      </c>
      <c r="H1461" s="3" t="s">
        <v>955</v>
      </c>
      <c r="I1461" s="3" t="s">
        <v>7043</v>
      </c>
      <c r="J1461" s="3"/>
      <c r="K1461" s="3"/>
      <c r="L1461" s="5"/>
    </row>
    <row r="1462" spans="1:12" ht="28.8" x14ac:dyDescent="0.55000000000000004">
      <c r="A1462" s="9" t="str">
        <f>HYPERLINK("PDF\FOIA-FWS-2020-00724-0001461.pdf","FOIA-FWS-2020-00724-0001461")</f>
        <v>FOIA-FWS-2020-00724-0001461</v>
      </c>
      <c r="B1462" s="3" t="s">
        <v>2668</v>
      </c>
      <c r="C1462" s="3" t="s">
        <v>234</v>
      </c>
      <c r="D1462" s="3" t="s">
        <v>33</v>
      </c>
      <c r="E1462" s="3" t="s">
        <v>2670</v>
      </c>
      <c r="F1462" s="4">
        <v>43537.75</v>
      </c>
      <c r="G1462" s="3"/>
      <c r="H1462" s="3"/>
      <c r="I1462" s="3" t="s">
        <v>7043</v>
      </c>
      <c r="J1462" s="3"/>
      <c r="K1462" s="3"/>
      <c r="L1462" s="5"/>
    </row>
    <row r="1463" spans="1:12" ht="28.8" x14ac:dyDescent="0.55000000000000004">
      <c r="A1463" s="9" t="str">
        <f>HYPERLINK("PDF\FOIA-FWS-2020-00724-0001462.pdf","FOIA-FWS-2020-00724-0001462")</f>
        <v>FOIA-FWS-2020-00724-0001462</v>
      </c>
      <c r="B1463" s="3" t="s">
        <v>2671</v>
      </c>
      <c r="C1463" s="3" t="s">
        <v>3</v>
      </c>
      <c r="D1463" s="3" t="s">
        <v>33</v>
      </c>
      <c r="E1463" s="3" t="s">
        <v>2672</v>
      </c>
      <c r="F1463" s="4">
        <v>43537.817361111112</v>
      </c>
      <c r="G1463" s="3" t="s">
        <v>1119</v>
      </c>
      <c r="H1463" s="3" t="s">
        <v>955</v>
      </c>
      <c r="I1463" s="3" t="s">
        <v>7043</v>
      </c>
      <c r="J1463" s="3"/>
      <c r="K1463" s="3"/>
      <c r="L1463" s="5"/>
    </row>
    <row r="1464" spans="1:12" ht="28.8" x14ac:dyDescent="0.55000000000000004">
      <c r="A1464" s="9" t="str">
        <f>HYPERLINK("PDF\FOIA-FWS-2020-00724-0001463.pdf","FOIA-FWS-2020-00724-0001463")</f>
        <v>FOIA-FWS-2020-00724-0001463</v>
      </c>
      <c r="B1464" s="3" t="s">
        <v>2671</v>
      </c>
      <c r="C1464" s="3" t="s">
        <v>234</v>
      </c>
      <c r="D1464" s="3" t="s">
        <v>33</v>
      </c>
      <c r="E1464" s="3" t="s">
        <v>2673</v>
      </c>
      <c r="F1464" s="4">
        <v>43537.817361111112</v>
      </c>
      <c r="G1464" s="3"/>
      <c r="H1464" s="3"/>
      <c r="I1464" s="3" t="s">
        <v>7043</v>
      </c>
      <c r="J1464" s="3"/>
      <c r="K1464" s="3"/>
      <c r="L1464" s="5"/>
    </row>
    <row r="1465" spans="1:12" ht="28.8" x14ac:dyDescent="0.55000000000000004">
      <c r="A1465" s="9" t="str">
        <f>HYPERLINK("PDF\FOIA-FWS-2020-00724-0001464.pdf","FOIA-FWS-2020-00724-0001464")</f>
        <v>FOIA-FWS-2020-00724-0001464</v>
      </c>
      <c r="B1465" s="3" t="s">
        <v>2671</v>
      </c>
      <c r="C1465" s="3" t="s">
        <v>234</v>
      </c>
      <c r="D1465" s="3" t="s">
        <v>33</v>
      </c>
      <c r="E1465" s="3" t="s">
        <v>2674</v>
      </c>
      <c r="F1465" s="4">
        <v>43537.817361111112</v>
      </c>
      <c r="G1465" s="3"/>
      <c r="H1465" s="3"/>
      <c r="I1465" s="3" t="s">
        <v>7043</v>
      </c>
      <c r="J1465" s="3"/>
      <c r="K1465" s="3"/>
      <c r="L1465" s="5"/>
    </row>
    <row r="1466" spans="1:12" ht="28.8" x14ac:dyDescent="0.55000000000000004">
      <c r="A1466" s="9" t="str">
        <f>HYPERLINK("PDF\FOIA-FWS-2020-00724-0001465.pdf","FOIA-FWS-2020-00724-0001465")</f>
        <v>FOIA-FWS-2020-00724-0001465</v>
      </c>
      <c r="B1466" s="3" t="s">
        <v>2675</v>
      </c>
      <c r="C1466" s="3" t="s">
        <v>3</v>
      </c>
      <c r="D1466" s="3" t="s">
        <v>33</v>
      </c>
      <c r="E1466" s="3" t="s">
        <v>2676</v>
      </c>
      <c r="F1466" s="4">
        <v>43538</v>
      </c>
      <c r="G1466" s="3"/>
      <c r="H1466" s="3"/>
      <c r="I1466" s="3" t="s">
        <v>7043</v>
      </c>
      <c r="J1466" s="3"/>
      <c r="K1466" s="3"/>
      <c r="L1466" s="5"/>
    </row>
    <row r="1467" spans="1:12" ht="28.8" x14ac:dyDescent="0.55000000000000004">
      <c r="A1467" s="9" t="str">
        <f>HYPERLINK("PDF\FOIA-FWS-2020-00724-0001466.pdf","FOIA-FWS-2020-00724-0001466")</f>
        <v>FOIA-FWS-2020-00724-0001466</v>
      </c>
      <c r="B1467" s="3" t="s">
        <v>2677</v>
      </c>
      <c r="C1467" s="3" t="s">
        <v>3</v>
      </c>
      <c r="D1467" s="3" t="s">
        <v>33</v>
      </c>
      <c r="E1467" s="3" t="s">
        <v>2678</v>
      </c>
      <c r="F1467" s="4">
        <v>43538.464583333334</v>
      </c>
      <c r="G1467" s="3" t="s">
        <v>1119</v>
      </c>
      <c r="H1467" s="3" t="s">
        <v>955</v>
      </c>
      <c r="I1467" s="3" t="s">
        <v>7043</v>
      </c>
      <c r="J1467" s="3"/>
      <c r="K1467" s="3"/>
      <c r="L1467" s="5"/>
    </row>
    <row r="1468" spans="1:12" ht="43.2" x14ac:dyDescent="0.55000000000000004">
      <c r="A1468" s="9" t="str">
        <f>HYPERLINK("PDF\FOIA-FWS-2020-00724-0001467.pdf","FOIA-FWS-2020-00724-0001467")</f>
        <v>FOIA-FWS-2020-00724-0001467</v>
      </c>
      <c r="B1468" s="3" t="s">
        <v>2679</v>
      </c>
      <c r="C1468" s="3" t="s">
        <v>3</v>
      </c>
      <c r="D1468" s="3" t="s">
        <v>33</v>
      </c>
      <c r="E1468" s="3" t="s">
        <v>2681</v>
      </c>
      <c r="F1468" s="4">
        <v>43538.488194444442</v>
      </c>
      <c r="G1468" s="3" t="s">
        <v>2211</v>
      </c>
      <c r="H1468" s="3" t="s">
        <v>2680</v>
      </c>
      <c r="I1468" s="3" t="s">
        <v>7043</v>
      </c>
      <c r="J1468" s="3"/>
      <c r="K1468" s="3"/>
      <c r="L1468" s="5"/>
    </row>
    <row r="1469" spans="1:12" ht="28.8" x14ac:dyDescent="0.55000000000000004">
      <c r="A1469" s="9" t="str">
        <f>HYPERLINK("PDF\FOIA-FWS-2020-00724-0001468.pdf","FOIA-FWS-2020-00724-0001468")</f>
        <v>FOIA-FWS-2020-00724-0001468</v>
      </c>
      <c r="B1469" s="3" t="s">
        <v>2679</v>
      </c>
      <c r="C1469" s="3" t="s">
        <v>234</v>
      </c>
      <c r="D1469" s="3" t="s">
        <v>33</v>
      </c>
      <c r="E1469" s="3" t="s">
        <v>2670</v>
      </c>
      <c r="F1469" s="4">
        <v>43538.488194444442</v>
      </c>
      <c r="G1469" s="3"/>
      <c r="H1469" s="3"/>
      <c r="I1469" s="3" t="s">
        <v>7043</v>
      </c>
      <c r="J1469" s="3"/>
      <c r="K1469" s="3"/>
      <c r="L1469" s="5"/>
    </row>
    <row r="1470" spans="1:12" ht="28.8" x14ac:dyDescent="0.55000000000000004">
      <c r="A1470" s="9" t="str">
        <f>HYPERLINK("PDF\FOIA-FWS-2020-00724-0001469.pdf","FOIA-FWS-2020-00724-0001469")</f>
        <v>FOIA-FWS-2020-00724-0001469</v>
      </c>
      <c r="B1470" s="3" t="s">
        <v>2682</v>
      </c>
      <c r="C1470" s="3" t="s">
        <v>3</v>
      </c>
      <c r="D1470" s="3" t="s">
        <v>33</v>
      </c>
      <c r="E1470" s="3" t="s">
        <v>2683</v>
      </c>
      <c r="F1470" s="4">
        <v>43538.515277777777</v>
      </c>
      <c r="G1470" s="3" t="s">
        <v>1119</v>
      </c>
      <c r="H1470" s="3" t="s">
        <v>955</v>
      </c>
      <c r="I1470" s="3" t="s">
        <v>7043</v>
      </c>
      <c r="J1470" s="3"/>
      <c r="K1470" s="3"/>
      <c r="L1470" s="5"/>
    </row>
    <row r="1471" spans="1:12" ht="28.8" x14ac:dyDescent="0.55000000000000004">
      <c r="A1471" s="9" t="str">
        <f>HYPERLINK("PDF\FOIA-FWS-2020-00724-0001470.pdf","FOIA-FWS-2020-00724-0001470")</f>
        <v>FOIA-FWS-2020-00724-0001470</v>
      </c>
      <c r="B1471" s="3" t="s">
        <v>2682</v>
      </c>
      <c r="C1471" s="3" t="s">
        <v>234</v>
      </c>
      <c r="D1471" s="3" t="s">
        <v>33</v>
      </c>
      <c r="E1471" s="3" t="s">
        <v>2673</v>
      </c>
      <c r="F1471" s="4">
        <v>43538.515277777777</v>
      </c>
      <c r="G1471" s="3"/>
      <c r="H1471" s="3"/>
      <c r="I1471" s="3" t="s">
        <v>7043</v>
      </c>
      <c r="J1471" s="3"/>
      <c r="K1471" s="3"/>
      <c r="L1471" s="5"/>
    </row>
    <row r="1472" spans="1:12" ht="28.8" x14ac:dyDescent="0.55000000000000004">
      <c r="A1472" s="9" t="str">
        <f>HYPERLINK("PDF\FOIA-FWS-2020-00724-0001471.pdf","FOIA-FWS-2020-00724-0001471")</f>
        <v>FOIA-FWS-2020-00724-0001471</v>
      </c>
      <c r="B1472" s="3" t="s">
        <v>2682</v>
      </c>
      <c r="C1472" s="3" t="s">
        <v>234</v>
      </c>
      <c r="D1472" s="3" t="s">
        <v>33</v>
      </c>
      <c r="E1472" s="3" t="s">
        <v>2674</v>
      </c>
      <c r="F1472" s="4">
        <v>43538.515277777777</v>
      </c>
      <c r="G1472" s="3"/>
      <c r="H1472" s="3"/>
      <c r="I1472" s="3" t="s">
        <v>7043</v>
      </c>
      <c r="J1472" s="3"/>
      <c r="K1472" s="3"/>
      <c r="L1472" s="5"/>
    </row>
    <row r="1473" spans="1:12" ht="28.8" x14ac:dyDescent="0.55000000000000004">
      <c r="A1473" s="9" t="str">
        <f>HYPERLINK("PDF\FOIA-FWS-2020-00724-0001472.pdf","FOIA-FWS-2020-00724-0001472")</f>
        <v>FOIA-FWS-2020-00724-0001472</v>
      </c>
      <c r="B1473" s="3" t="s">
        <v>2684</v>
      </c>
      <c r="C1473" s="3" t="s">
        <v>3</v>
      </c>
      <c r="D1473" s="3" t="s">
        <v>33</v>
      </c>
      <c r="E1473" s="3" t="s">
        <v>2685</v>
      </c>
      <c r="F1473" s="4">
        <v>43538.54791666667</v>
      </c>
      <c r="G1473" s="3" t="s">
        <v>963</v>
      </c>
      <c r="H1473" s="3" t="s">
        <v>955</v>
      </c>
      <c r="I1473" s="3" t="s">
        <v>7043</v>
      </c>
      <c r="J1473" s="3"/>
      <c r="K1473" s="3"/>
      <c r="L1473" s="5"/>
    </row>
    <row r="1474" spans="1:12" ht="28.8" x14ac:dyDescent="0.55000000000000004">
      <c r="A1474" s="9" t="str">
        <f>HYPERLINK("PDF\FOIA-FWS-2020-00724-0001473.pdf","FOIA-FWS-2020-00724-0001473")</f>
        <v>FOIA-FWS-2020-00724-0001473</v>
      </c>
      <c r="B1474" s="3" t="s">
        <v>2684</v>
      </c>
      <c r="C1474" s="3" t="s">
        <v>234</v>
      </c>
      <c r="D1474" s="3" t="s">
        <v>33</v>
      </c>
      <c r="E1474" s="3" t="s">
        <v>2686</v>
      </c>
      <c r="F1474" s="4">
        <v>43538.54791666667</v>
      </c>
      <c r="G1474" s="3"/>
      <c r="H1474" s="3"/>
      <c r="I1474" s="3" t="s">
        <v>7043</v>
      </c>
      <c r="J1474" s="3"/>
      <c r="K1474" s="3"/>
      <c r="L1474" s="5"/>
    </row>
    <row r="1475" spans="1:12" ht="28.8" x14ac:dyDescent="0.55000000000000004">
      <c r="A1475" s="9" t="str">
        <f>HYPERLINK("PDF\FOIA-FWS-2020-00724-0001474.pdf","FOIA-FWS-2020-00724-0001474")</f>
        <v>FOIA-FWS-2020-00724-0001474</v>
      </c>
      <c r="B1475" s="3" t="s">
        <v>2687</v>
      </c>
      <c r="C1475" s="3" t="s">
        <v>3</v>
      </c>
      <c r="D1475" s="3" t="s">
        <v>33</v>
      </c>
      <c r="E1475" s="3" t="s">
        <v>2688</v>
      </c>
      <c r="F1475" s="4">
        <v>43538.670138888891</v>
      </c>
      <c r="G1475" s="3" t="s">
        <v>955</v>
      </c>
      <c r="H1475" s="3" t="s">
        <v>963</v>
      </c>
      <c r="I1475" s="3" t="s">
        <v>7043</v>
      </c>
      <c r="J1475" s="3"/>
      <c r="K1475" s="3"/>
      <c r="L1475" s="5"/>
    </row>
    <row r="1476" spans="1:12" ht="28.8" x14ac:dyDescent="0.55000000000000004">
      <c r="A1476" s="9" t="str">
        <f>HYPERLINK("PDF\FOIA-FWS-2020-00724-0001475.pdf","FOIA-FWS-2020-00724-0001475")</f>
        <v>FOIA-FWS-2020-00724-0001475</v>
      </c>
      <c r="B1476" s="3" t="s">
        <v>2687</v>
      </c>
      <c r="C1476" s="3" t="s">
        <v>234</v>
      </c>
      <c r="D1476" s="3" t="s">
        <v>33</v>
      </c>
      <c r="E1476" s="3" t="s">
        <v>2689</v>
      </c>
      <c r="F1476" s="4">
        <v>43538.670138888891</v>
      </c>
      <c r="G1476" s="3"/>
      <c r="H1476" s="3"/>
      <c r="I1476" s="3" t="s">
        <v>7043</v>
      </c>
      <c r="J1476" s="3"/>
      <c r="K1476" s="3"/>
      <c r="L1476" s="5"/>
    </row>
    <row r="1477" spans="1:12" ht="28.8" x14ac:dyDescent="0.55000000000000004">
      <c r="A1477" s="9" t="str">
        <f>HYPERLINK("PDF\FOIA-FWS-2020-00724-0001476.pdf","FOIA-FWS-2020-00724-0001476")</f>
        <v>FOIA-FWS-2020-00724-0001476</v>
      </c>
      <c r="B1477" s="3" t="s">
        <v>2690</v>
      </c>
      <c r="C1477" s="3" t="s">
        <v>3</v>
      </c>
      <c r="D1477" s="3" t="s">
        <v>33</v>
      </c>
      <c r="E1477" s="3" t="s">
        <v>2685</v>
      </c>
      <c r="F1477" s="4">
        <v>43538.738888888889</v>
      </c>
      <c r="G1477" s="3" t="s">
        <v>955</v>
      </c>
      <c r="H1477" s="3" t="s">
        <v>963</v>
      </c>
      <c r="I1477" s="3" t="s">
        <v>7043</v>
      </c>
      <c r="J1477" s="3"/>
      <c r="K1477" s="3"/>
      <c r="L1477" s="5"/>
    </row>
    <row r="1478" spans="1:12" ht="28.8" x14ac:dyDescent="0.55000000000000004">
      <c r="A1478" s="9" t="str">
        <f>HYPERLINK("PDF\FOIA-FWS-2020-00724-0001477.pdf","FOIA-FWS-2020-00724-0001477")</f>
        <v>FOIA-FWS-2020-00724-0001477</v>
      </c>
      <c r="B1478" s="3" t="s">
        <v>2690</v>
      </c>
      <c r="C1478" s="3" t="s">
        <v>234</v>
      </c>
      <c r="D1478" s="3" t="s">
        <v>33</v>
      </c>
      <c r="E1478" s="3" t="s">
        <v>2691</v>
      </c>
      <c r="F1478" s="4">
        <v>43538.738888888889</v>
      </c>
      <c r="G1478" s="3"/>
      <c r="H1478" s="3"/>
      <c r="I1478" s="3" t="s">
        <v>7043</v>
      </c>
      <c r="J1478" s="3"/>
      <c r="K1478" s="3"/>
      <c r="L1478" s="5"/>
    </row>
    <row r="1479" spans="1:12" ht="28.8" x14ac:dyDescent="0.55000000000000004">
      <c r="A1479" s="9" t="str">
        <f>HYPERLINK("PDF\FOIA-FWS-2020-00724-0001478.pdf","FOIA-FWS-2020-00724-0001478")</f>
        <v>FOIA-FWS-2020-00724-0001478</v>
      </c>
      <c r="B1479" s="3" t="s">
        <v>2692</v>
      </c>
      <c r="C1479" s="3" t="s">
        <v>3</v>
      </c>
      <c r="D1479" s="3" t="s">
        <v>33</v>
      </c>
      <c r="E1479" s="3" t="s">
        <v>2685</v>
      </c>
      <c r="F1479" s="4">
        <v>43538.751388888886</v>
      </c>
      <c r="G1479" s="3" t="s">
        <v>963</v>
      </c>
      <c r="H1479" s="3" t="s">
        <v>955</v>
      </c>
      <c r="I1479" s="3" t="s">
        <v>7043</v>
      </c>
      <c r="J1479" s="3"/>
      <c r="K1479" s="3"/>
      <c r="L1479" s="5"/>
    </row>
    <row r="1480" spans="1:12" ht="28.8" x14ac:dyDescent="0.55000000000000004">
      <c r="A1480" s="9" t="str">
        <f>HYPERLINK("PDF\FOIA-FWS-2020-00724-0001479.pdf","FOIA-FWS-2020-00724-0001479")</f>
        <v>FOIA-FWS-2020-00724-0001479</v>
      </c>
      <c r="B1480" s="3" t="s">
        <v>2693</v>
      </c>
      <c r="C1480" s="3" t="s">
        <v>3</v>
      </c>
      <c r="D1480" s="3" t="s">
        <v>33</v>
      </c>
      <c r="E1480" s="3" t="s">
        <v>2694</v>
      </c>
      <c r="F1480" s="4">
        <v>43538.769444444442</v>
      </c>
      <c r="G1480" s="3" t="s">
        <v>955</v>
      </c>
      <c r="H1480" s="3" t="s">
        <v>1119</v>
      </c>
      <c r="I1480" s="3" t="s">
        <v>7043</v>
      </c>
      <c r="J1480" s="3"/>
      <c r="K1480" s="3"/>
      <c r="L1480" s="5"/>
    </row>
    <row r="1481" spans="1:12" ht="28.8" x14ac:dyDescent="0.55000000000000004">
      <c r="A1481" s="9" t="str">
        <f>HYPERLINK("PDF\FOIA-FWS-2020-00724-0001480.pdf","FOIA-FWS-2020-00724-0001480")</f>
        <v>FOIA-FWS-2020-00724-0001480</v>
      </c>
      <c r="B1481" s="3" t="s">
        <v>2693</v>
      </c>
      <c r="C1481" s="3" t="s">
        <v>234</v>
      </c>
      <c r="D1481" s="3" t="s">
        <v>33</v>
      </c>
      <c r="E1481" s="3" t="s">
        <v>2695</v>
      </c>
      <c r="F1481" s="4">
        <v>43538.769444444442</v>
      </c>
      <c r="G1481" s="3"/>
      <c r="H1481" s="3"/>
      <c r="I1481" s="3" t="s">
        <v>7043</v>
      </c>
      <c r="J1481" s="3"/>
      <c r="K1481" s="3"/>
      <c r="L1481" s="5"/>
    </row>
    <row r="1482" spans="1:12" ht="28.8" x14ac:dyDescent="0.55000000000000004">
      <c r="A1482" s="9" t="str">
        <f>HYPERLINK("PDF\FOIA-FWS-2020-00724-0001481.pdf","FOIA-FWS-2020-00724-0001481")</f>
        <v>FOIA-FWS-2020-00724-0001481</v>
      </c>
      <c r="B1482" s="3" t="s">
        <v>2696</v>
      </c>
      <c r="C1482" s="3" t="s">
        <v>3</v>
      </c>
      <c r="D1482" s="3" t="s">
        <v>33</v>
      </c>
      <c r="E1482" s="3" t="s">
        <v>2697</v>
      </c>
      <c r="F1482" s="4">
        <v>43538.774305555555</v>
      </c>
      <c r="G1482" s="3" t="s">
        <v>963</v>
      </c>
      <c r="H1482" s="3" t="s">
        <v>955</v>
      </c>
      <c r="I1482" s="3" t="s">
        <v>7043</v>
      </c>
      <c r="J1482" s="3"/>
      <c r="K1482" s="3"/>
      <c r="L1482" s="5"/>
    </row>
    <row r="1483" spans="1:12" ht="129.6" x14ac:dyDescent="0.55000000000000004">
      <c r="A1483" s="9" t="str">
        <f>HYPERLINK("PDF\FOIA-FWS-2020-00724-0001482.pdf","FOIA-FWS-2020-00724-0001482")</f>
        <v>FOIA-FWS-2020-00724-0001482</v>
      </c>
      <c r="B1483" s="3" t="s">
        <v>2698</v>
      </c>
      <c r="C1483" s="3" t="s">
        <v>3</v>
      </c>
      <c r="D1483" s="3" t="s">
        <v>33</v>
      </c>
      <c r="E1483" s="3" t="s">
        <v>2700</v>
      </c>
      <c r="F1483" s="4">
        <v>43538.815972222219</v>
      </c>
      <c r="G1483" s="3" t="s">
        <v>963</v>
      </c>
      <c r="H1483" s="3" t="s">
        <v>2699</v>
      </c>
      <c r="I1483" s="3" t="s">
        <v>7043</v>
      </c>
      <c r="J1483" s="3"/>
      <c r="K1483" s="3"/>
      <c r="L1483" s="5"/>
    </row>
    <row r="1484" spans="1:12" ht="28.8" x14ac:dyDescent="0.55000000000000004">
      <c r="A1484" s="9" t="str">
        <f>HYPERLINK("PDF\FOIA-FWS-2020-00724-0001483.pdf","FOIA-FWS-2020-00724-0001483")</f>
        <v>FOIA-FWS-2020-00724-0001483</v>
      </c>
      <c r="B1484" s="3" t="s">
        <v>2698</v>
      </c>
      <c r="C1484" s="3" t="s">
        <v>234</v>
      </c>
      <c r="D1484" s="3" t="s">
        <v>33</v>
      </c>
      <c r="E1484" s="3" t="s">
        <v>2701</v>
      </c>
      <c r="F1484" s="4">
        <v>43538.815972222219</v>
      </c>
      <c r="G1484" s="3"/>
      <c r="H1484" s="3"/>
      <c r="I1484" s="3" t="s">
        <v>7043</v>
      </c>
      <c r="J1484" s="3"/>
      <c r="K1484" s="3"/>
      <c r="L1484" s="5"/>
    </row>
    <row r="1485" spans="1:12" ht="86.4" x14ac:dyDescent="0.55000000000000004">
      <c r="A1485" s="9" t="str">
        <f>HYPERLINK("PDF\FOIA-FWS-2020-00724-0001484.pdf","FOIA-FWS-2020-00724-0001484")</f>
        <v>FOIA-FWS-2020-00724-0001484</v>
      </c>
      <c r="B1485" s="3" t="s">
        <v>2702</v>
      </c>
      <c r="C1485" s="3" t="s">
        <v>3</v>
      </c>
      <c r="D1485" s="3" t="s">
        <v>33</v>
      </c>
      <c r="E1485" s="3" t="s">
        <v>2703</v>
      </c>
      <c r="F1485" s="4">
        <v>43539.522222222222</v>
      </c>
      <c r="G1485" s="3" t="s">
        <v>955</v>
      </c>
      <c r="H1485" s="3" t="s">
        <v>2525</v>
      </c>
      <c r="I1485" s="3" t="s">
        <v>7043</v>
      </c>
      <c r="J1485" s="3"/>
      <c r="K1485" s="3"/>
      <c r="L1485" s="5"/>
    </row>
    <row r="1486" spans="1:12" ht="28.8" x14ac:dyDescent="0.55000000000000004">
      <c r="A1486" s="9" t="str">
        <f>HYPERLINK("PDF\FOIA-FWS-2020-00724-0001485.pdf","FOIA-FWS-2020-00724-0001485")</f>
        <v>FOIA-FWS-2020-00724-0001485</v>
      </c>
      <c r="B1486" s="3" t="s">
        <v>2704</v>
      </c>
      <c r="C1486" s="3" t="s">
        <v>3</v>
      </c>
      <c r="D1486" s="3" t="s">
        <v>33</v>
      </c>
      <c r="E1486" s="3" t="s">
        <v>2705</v>
      </c>
      <c r="F1486" s="4">
        <v>43539.613888888889</v>
      </c>
      <c r="G1486" s="3" t="s">
        <v>955</v>
      </c>
      <c r="H1486" s="3" t="s">
        <v>1119</v>
      </c>
      <c r="I1486" s="3" t="s">
        <v>7043</v>
      </c>
      <c r="J1486" s="3"/>
      <c r="K1486" s="3"/>
      <c r="L1486" s="5"/>
    </row>
    <row r="1487" spans="1:12" ht="28.8" x14ac:dyDescent="0.55000000000000004">
      <c r="A1487" s="9" t="str">
        <f>HYPERLINK("PDF\FOIA-FWS-2020-00724-0001486.pdf","FOIA-FWS-2020-00724-0001486")</f>
        <v>FOIA-FWS-2020-00724-0001486</v>
      </c>
      <c r="B1487" s="3" t="s">
        <v>2704</v>
      </c>
      <c r="C1487" s="3" t="s">
        <v>234</v>
      </c>
      <c r="D1487" s="3" t="s">
        <v>33</v>
      </c>
      <c r="E1487" s="3" t="s">
        <v>2706</v>
      </c>
      <c r="F1487" s="4">
        <v>43539.613888888889</v>
      </c>
      <c r="G1487" s="3"/>
      <c r="H1487" s="3"/>
      <c r="I1487" s="3" t="s">
        <v>7043</v>
      </c>
      <c r="J1487" s="3"/>
      <c r="K1487" s="3"/>
      <c r="L1487" s="5"/>
    </row>
    <row r="1488" spans="1:12" ht="28.8" x14ac:dyDescent="0.55000000000000004">
      <c r="A1488" s="9" t="str">
        <f>HYPERLINK("PDF\FOIA-FWS-2020-00724-0001487.pdf","FOIA-FWS-2020-00724-0001487")</f>
        <v>FOIA-FWS-2020-00724-0001487</v>
      </c>
      <c r="B1488" s="3" t="s">
        <v>2707</v>
      </c>
      <c r="C1488" s="3" t="s">
        <v>3</v>
      </c>
      <c r="D1488" s="3" t="s">
        <v>33</v>
      </c>
      <c r="E1488" s="3" t="s">
        <v>2708</v>
      </c>
      <c r="F1488" s="4">
        <v>43539.620138888888</v>
      </c>
      <c r="G1488" s="3" t="s">
        <v>1119</v>
      </c>
      <c r="H1488" s="3" t="s">
        <v>955</v>
      </c>
      <c r="I1488" s="3" t="s">
        <v>7043</v>
      </c>
      <c r="J1488" s="3"/>
      <c r="K1488" s="3"/>
      <c r="L1488" s="5"/>
    </row>
    <row r="1489" spans="1:12" ht="28.8" x14ac:dyDescent="0.55000000000000004">
      <c r="A1489" s="9" t="str">
        <f>HYPERLINK("PDF\FOIA-FWS-2020-00724-0001488.pdf","FOIA-FWS-2020-00724-0001488")</f>
        <v>FOIA-FWS-2020-00724-0001488</v>
      </c>
      <c r="B1489" s="3" t="s">
        <v>2707</v>
      </c>
      <c r="C1489" s="3" t="s">
        <v>234</v>
      </c>
      <c r="D1489" s="3" t="s">
        <v>33</v>
      </c>
      <c r="E1489" s="3" t="s">
        <v>2709</v>
      </c>
      <c r="F1489" s="4">
        <v>43539.620138888888</v>
      </c>
      <c r="G1489" s="3"/>
      <c r="H1489" s="3"/>
      <c r="I1489" s="3" t="s">
        <v>7043</v>
      </c>
      <c r="J1489" s="3"/>
      <c r="K1489" s="3"/>
      <c r="L1489" s="5"/>
    </row>
    <row r="1490" spans="1:12" ht="28.8" x14ac:dyDescent="0.55000000000000004">
      <c r="A1490" s="9" t="str">
        <f>HYPERLINK("PDF\FOIA-FWS-2020-00724-0001489.pdf","FOIA-FWS-2020-00724-0001489")</f>
        <v>FOIA-FWS-2020-00724-0001489</v>
      </c>
      <c r="B1490" s="3" t="s">
        <v>2710</v>
      </c>
      <c r="C1490" s="3" t="s">
        <v>3</v>
      </c>
      <c r="D1490" s="3" t="s">
        <v>33</v>
      </c>
      <c r="E1490" s="3" t="s">
        <v>2711</v>
      </c>
      <c r="F1490" s="4">
        <v>43539.736111111109</v>
      </c>
      <c r="G1490" s="3" t="s">
        <v>1730</v>
      </c>
      <c r="H1490" s="3" t="s">
        <v>955</v>
      </c>
      <c r="I1490" s="3" t="s">
        <v>7043</v>
      </c>
      <c r="J1490" s="3"/>
      <c r="K1490" s="3"/>
      <c r="L1490" s="5"/>
    </row>
    <row r="1491" spans="1:12" ht="28.8" x14ac:dyDescent="0.55000000000000004">
      <c r="A1491" s="9" t="str">
        <f>HYPERLINK("PDF\FOIA-FWS-2020-00724-0001490.pdf","FOIA-FWS-2020-00724-0001490")</f>
        <v>FOIA-FWS-2020-00724-0001490</v>
      </c>
      <c r="B1491" s="3" t="s">
        <v>2710</v>
      </c>
      <c r="C1491" s="3" t="s">
        <v>234</v>
      </c>
      <c r="D1491" s="3" t="s">
        <v>160</v>
      </c>
      <c r="E1491" s="3" t="s">
        <v>2712</v>
      </c>
      <c r="F1491" s="4">
        <v>43539.736111111109</v>
      </c>
      <c r="G1491" s="3"/>
      <c r="H1491" s="3"/>
      <c r="I1491" s="3" t="s">
        <v>7043</v>
      </c>
      <c r="J1491" s="3"/>
      <c r="K1491" s="3"/>
      <c r="L1491" s="5"/>
    </row>
    <row r="1492" spans="1:12" ht="129.6" x14ac:dyDescent="0.55000000000000004">
      <c r="A1492" s="9" t="str">
        <f>HYPERLINK("PDF\FOIA-FWS-2020-00724-0001491.pdf","FOIA-FWS-2020-00724-0001491")</f>
        <v>FOIA-FWS-2020-00724-0001491</v>
      </c>
      <c r="B1492" s="3" t="s">
        <v>2713</v>
      </c>
      <c r="C1492" s="3" t="s">
        <v>3</v>
      </c>
      <c r="D1492" s="3" t="s">
        <v>33</v>
      </c>
      <c r="E1492" s="3" t="s">
        <v>2715</v>
      </c>
      <c r="F1492" s="4">
        <v>43539.765972222223</v>
      </c>
      <c r="G1492" s="3" t="s">
        <v>955</v>
      </c>
      <c r="H1492" s="3" t="s">
        <v>2714</v>
      </c>
      <c r="I1492" s="3" t="s">
        <v>7043</v>
      </c>
      <c r="J1492" s="3"/>
      <c r="K1492" s="3"/>
      <c r="L1492" s="5"/>
    </row>
    <row r="1493" spans="1:12" ht="28.8" x14ac:dyDescent="0.55000000000000004">
      <c r="A1493" s="9" t="str">
        <f>HYPERLINK("PDF\FOIA-FWS-2020-00724-0001492.pdf","FOIA-FWS-2020-00724-0001492")</f>
        <v>FOIA-FWS-2020-00724-0001492</v>
      </c>
      <c r="B1493" s="3" t="s">
        <v>2713</v>
      </c>
      <c r="C1493" s="3" t="s">
        <v>234</v>
      </c>
      <c r="D1493" s="3" t="s">
        <v>33</v>
      </c>
      <c r="E1493" s="3" t="s">
        <v>2706</v>
      </c>
      <c r="F1493" s="4">
        <v>43539.765972222223</v>
      </c>
      <c r="G1493" s="3"/>
      <c r="H1493" s="3"/>
      <c r="I1493" s="3" t="s">
        <v>7043</v>
      </c>
      <c r="J1493" s="3"/>
      <c r="K1493" s="3"/>
      <c r="L1493" s="5"/>
    </row>
    <row r="1494" spans="1:12" ht="28.8" x14ac:dyDescent="0.55000000000000004">
      <c r="A1494" s="9" t="str">
        <f>HYPERLINK("PDF\FOIA-FWS-2020-00724-0001493.pdf","FOIA-FWS-2020-00724-0001493")</f>
        <v>FOIA-FWS-2020-00724-0001493</v>
      </c>
      <c r="B1494" s="3" t="s">
        <v>2713</v>
      </c>
      <c r="C1494" s="3" t="s">
        <v>234</v>
      </c>
      <c r="D1494" s="3" t="s">
        <v>160</v>
      </c>
      <c r="E1494" s="3" t="s">
        <v>2716</v>
      </c>
      <c r="F1494" s="4">
        <v>43539.765972222223</v>
      </c>
      <c r="G1494" s="3"/>
      <c r="H1494" s="3"/>
      <c r="I1494" s="3" t="s">
        <v>7043</v>
      </c>
      <c r="J1494" s="3"/>
      <c r="K1494" s="3"/>
      <c r="L1494" s="5"/>
    </row>
    <row r="1495" spans="1:12" ht="28.8" x14ac:dyDescent="0.55000000000000004">
      <c r="A1495" s="9" t="str">
        <f>HYPERLINK("PDF\FOIA-FWS-2020-00724-0001494.pdf","FOIA-FWS-2020-00724-0001494")</f>
        <v>FOIA-FWS-2020-00724-0001494</v>
      </c>
      <c r="B1495" s="3" t="s">
        <v>2717</v>
      </c>
      <c r="C1495" s="3" t="s">
        <v>3</v>
      </c>
      <c r="D1495" s="3" t="s">
        <v>160</v>
      </c>
      <c r="E1495" s="3" t="s">
        <v>2718</v>
      </c>
      <c r="F1495" s="4">
        <v>43542</v>
      </c>
      <c r="G1495" s="3"/>
      <c r="H1495" s="3"/>
      <c r="I1495" s="3" t="s">
        <v>7043</v>
      </c>
      <c r="J1495" s="3"/>
      <c r="K1495" s="3"/>
      <c r="L1495" s="5"/>
    </row>
    <row r="1496" spans="1:12" ht="28.8" x14ac:dyDescent="0.55000000000000004">
      <c r="A1496" s="9" t="str">
        <f>HYPERLINK("PDF\FOIA-FWS-2020-00724-0001495.pdf","FOIA-FWS-2020-00724-0001495")</f>
        <v>FOIA-FWS-2020-00724-0001495</v>
      </c>
      <c r="B1496" s="3" t="s">
        <v>2719</v>
      </c>
      <c r="C1496" s="3" t="s">
        <v>3</v>
      </c>
      <c r="D1496" s="3" t="s">
        <v>33</v>
      </c>
      <c r="E1496" s="3" t="s">
        <v>2720</v>
      </c>
      <c r="F1496" s="4">
        <v>43542</v>
      </c>
      <c r="G1496" s="3"/>
      <c r="H1496" s="3"/>
      <c r="I1496" s="3" t="s">
        <v>7043</v>
      </c>
      <c r="J1496" s="3"/>
      <c r="K1496" s="3"/>
      <c r="L1496" s="5"/>
    </row>
    <row r="1497" spans="1:12" ht="28.8" x14ac:dyDescent="0.55000000000000004">
      <c r="A1497" s="9" t="str">
        <f>HYPERLINK("PDF\FOIA-FWS-2020-00724-0001496.pdf","FOIA-FWS-2020-00724-0001496")</f>
        <v>FOIA-FWS-2020-00724-0001496</v>
      </c>
      <c r="B1497" s="3" t="s">
        <v>2721</v>
      </c>
      <c r="C1497" s="3"/>
      <c r="D1497" s="3" t="s">
        <v>160</v>
      </c>
      <c r="E1497" s="3" t="s">
        <v>2722</v>
      </c>
      <c r="F1497" s="4">
        <v>43542</v>
      </c>
      <c r="G1497" s="3"/>
      <c r="H1497" s="3"/>
      <c r="I1497" s="3" t="s">
        <v>7043</v>
      </c>
      <c r="J1497" s="3"/>
      <c r="K1497" s="3"/>
      <c r="L1497" s="5" t="str">
        <f>HYPERLINK("NATIVE_FILES\FOIA-FWS-2020-00724-0001496.zip","FOIA-FWS-2020-00724-0001496.zip")</f>
        <v>FOIA-FWS-2020-00724-0001496.zip</v>
      </c>
    </row>
    <row r="1498" spans="1:12" ht="43.2" x14ac:dyDescent="0.55000000000000004">
      <c r="A1498" s="9" t="str">
        <f>HYPERLINK("PDF\FOIA-FWS-2020-00724-0001497.pdf","FOIA-FWS-2020-00724-0001497")</f>
        <v>FOIA-FWS-2020-00724-0001497</v>
      </c>
      <c r="B1498" s="3" t="s">
        <v>2723</v>
      </c>
      <c r="C1498" s="3" t="s">
        <v>3</v>
      </c>
      <c r="D1498" s="3" t="s">
        <v>33</v>
      </c>
      <c r="E1498" s="3" t="s">
        <v>2724</v>
      </c>
      <c r="F1498" s="4">
        <v>43542.561805555553</v>
      </c>
      <c r="G1498" s="3" t="s">
        <v>955</v>
      </c>
      <c r="H1498" s="3" t="s">
        <v>2509</v>
      </c>
      <c r="I1498" s="3" t="s">
        <v>7043</v>
      </c>
      <c r="J1498" s="3"/>
      <c r="K1498" s="3"/>
      <c r="L1498" s="5"/>
    </row>
    <row r="1499" spans="1:12" ht="28.8" x14ac:dyDescent="0.55000000000000004">
      <c r="A1499" s="9" t="str">
        <f>HYPERLINK("PDF\FOIA-FWS-2020-00724-0001498.pdf","FOIA-FWS-2020-00724-0001498")</f>
        <v>FOIA-FWS-2020-00724-0001498</v>
      </c>
      <c r="B1499" s="3" t="s">
        <v>2725</v>
      </c>
      <c r="C1499" s="3" t="s">
        <v>3</v>
      </c>
      <c r="D1499" s="3" t="s">
        <v>33</v>
      </c>
      <c r="E1499" s="3" t="s">
        <v>2727</v>
      </c>
      <c r="F1499" s="4">
        <v>43542.68472222222</v>
      </c>
      <c r="G1499" s="3" t="s">
        <v>1249</v>
      </c>
      <c r="H1499" s="3" t="s">
        <v>2726</v>
      </c>
      <c r="I1499" s="3" t="s">
        <v>7043</v>
      </c>
      <c r="J1499" s="3"/>
      <c r="K1499" s="3"/>
      <c r="L1499" s="5"/>
    </row>
    <row r="1500" spans="1:12" ht="28.8" x14ac:dyDescent="0.55000000000000004">
      <c r="A1500" s="9" t="str">
        <f>HYPERLINK("PDF\FOIA-FWS-2020-00724-0001499.pdf","FOIA-FWS-2020-00724-0001499")</f>
        <v>FOIA-FWS-2020-00724-0001499</v>
      </c>
      <c r="B1500" s="3" t="s">
        <v>2728</v>
      </c>
      <c r="C1500" s="3" t="s">
        <v>3</v>
      </c>
      <c r="D1500" s="3" t="s">
        <v>33</v>
      </c>
      <c r="E1500" s="3" t="s">
        <v>2729</v>
      </c>
      <c r="F1500" s="4">
        <v>43542.688888888886</v>
      </c>
      <c r="G1500" s="3" t="s">
        <v>955</v>
      </c>
      <c r="H1500" s="3" t="s">
        <v>872</v>
      </c>
      <c r="I1500" s="3" t="s">
        <v>7043</v>
      </c>
      <c r="J1500" s="3"/>
      <c r="K1500" s="3"/>
      <c r="L1500" s="5"/>
    </row>
    <row r="1501" spans="1:12" ht="28.8" x14ac:dyDescent="0.55000000000000004">
      <c r="A1501" s="9" t="str">
        <f>HYPERLINK("PDF\FOIA-FWS-2020-00724-0001500.pdf","FOIA-FWS-2020-00724-0001500")</f>
        <v>FOIA-FWS-2020-00724-0001500</v>
      </c>
      <c r="B1501" s="3" t="s">
        <v>2730</v>
      </c>
      <c r="C1501" s="3" t="s">
        <v>3</v>
      </c>
      <c r="D1501" s="3" t="s">
        <v>33</v>
      </c>
      <c r="E1501" s="3" t="s">
        <v>2731</v>
      </c>
      <c r="F1501" s="4">
        <v>43542.72152777778</v>
      </c>
      <c r="G1501" s="3" t="s">
        <v>955</v>
      </c>
      <c r="H1501" s="3" t="s">
        <v>1119</v>
      </c>
      <c r="I1501" s="3" t="s">
        <v>7043</v>
      </c>
      <c r="J1501" s="3"/>
      <c r="K1501" s="3"/>
      <c r="L1501" s="5"/>
    </row>
    <row r="1502" spans="1:12" ht="28.8" x14ac:dyDescent="0.55000000000000004">
      <c r="A1502" s="9" t="str">
        <f>HYPERLINK("PDF\FOIA-FWS-2020-00724-0001501.pdf","FOIA-FWS-2020-00724-0001501")</f>
        <v>FOIA-FWS-2020-00724-0001501</v>
      </c>
      <c r="B1502" s="3" t="s">
        <v>2732</v>
      </c>
      <c r="C1502" s="3" t="s">
        <v>3</v>
      </c>
      <c r="D1502" s="3" t="s">
        <v>33</v>
      </c>
      <c r="E1502" s="3" t="s">
        <v>2733</v>
      </c>
      <c r="F1502" s="4">
        <v>43542.753472222219</v>
      </c>
      <c r="G1502" s="3" t="s">
        <v>955</v>
      </c>
      <c r="H1502" s="3" t="s">
        <v>1119</v>
      </c>
      <c r="I1502" s="3" t="s">
        <v>7043</v>
      </c>
      <c r="J1502" s="3"/>
      <c r="K1502" s="3"/>
      <c r="L1502" s="5"/>
    </row>
    <row r="1503" spans="1:12" ht="28.8" x14ac:dyDescent="0.55000000000000004">
      <c r="A1503" s="9" t="str">
        <f>HYPERLINK("PDF\FOIA-FWS-2020-00724-0001502.pdf","FOIA-FWS-2020-00724-0001502")</f>
        <v>FOIA-FWS-2020-00724-0001502</v>
      </c>
      <c r="B1503" s="3" t="s">
        <v>2732</v>
      </c>
      <c r="C1503" s="3" t="s">
        <v>234</v>
      </c>
      <c r="D1503" s="3" t="s">
        <v>33</v>
      </c>
      <c r="E1503" s="3" t="s">
        <v>2734</v>
      </c>
      <c r="F1503" s="4">
        <v>43542.753472222219</v>
      </c>
      <c r="G1503" s="3"/>
      <c r="H1503" s="3"/>
      <c r="I1503" s="3" t="s">
        <v>7043</v>
      </c>
      <c r="J1503" s="3"/>
      <c r="K1503" s="3"/>
      <c r="L1503" s="5"/>
    </row>
    <row r="1504" spans="1:12" ht="28.8" x14ac:dyDescent="0.55000000000000004">
      <c r="A1504" s="9" t="str">
        <f>HYPERLINK("PDF\FOIA-FWS-2020-00724-0001503.pdf","FOIA-FWS-2020-00724-0001503")</f>
        <v>FOIA-FWS-2020-00724-0001503</v>
      </c>
      <c r="B1504" s="3" t="s">
        <v>2732</v>
      </c>
      <c r="C1504" s="3" t="s">
        <v>234</v>
      </c>
      <c r="D1504" s="3" t="s">
        <v>33</v>
      </c>
      <c r="E1504" s="3" t="s">
        <v>2735</v>
      </c>
      <c r="F1504" s="4">
        <v>43542.753472222219</v>
      </c>
      <c r="G1504" s="3"/>
      <c r="H1504" s="3"/>
      <c r="I1504" s="3" t="s">
        <v>7043</v>
      </c>
      <c r="J1504" s="3"/>
      <c r="K1504" s="3"/>
      <c r="L1504" s="5"/>
    </row>
    <row r="1505" spans="1:12" ht="43.2" x14ac:dyDescent="0.55000000000000004">
      <c r="A1505" s="9" t="str">
        <f>HYPERLINK("PDF\FOIA-FWS-2020-00724-0001504.pdf","FOIA-FWS-2020-00724-0001504")</f>
        <v>FOIA-FWS-2020-00724-0001504</v>
      </c>
      <c r="B1505" s="3" t="s">
        <v>2736</v>
      </c>
      <c r="C1505" s="3" t="s">
        <v>3</v>
      </c>
      <c r="D1505" s="3" t="s">
        <v>33</v>
      </c>
      <c r="E1505" s="3" t="s">
        <v>2738</v>
      </c>
      <c r="F1505" s="4">
        <v>43542.970833333333</v>
      </c>
      <c r="G1505" s="3" t="s">
        <v>2166</v>
      </c>
      <c r="H1505" s="3" t="s">
        <v>2737</v>
      </c>
      <c r="I1505" s="3" t="s">
        <v>7043</v>
      </c>
      <c r="J1505" s="3"/>
      <c r="K1505" s="3"/>
      <c r="L1505" s="5"/>
    </row>
    <row r="1506" spans="1:12" ht="28.8" x14ac:dyDescent="0.55000000000000004">
      <c r="A1506" s="9" t="str">
        <f>HYPERLINK("PDF\FOIA-FWS-2020-00724-0001505.pdf","FOIA-FWS-2020-00724-0001505")</f>
        <v>FOIA-FWS-2020-00724-0001505</v>
      </c>
      <c r="B1506" s="3" t="s">
        <v>2736</v>
      </c>
      <c r="C1506" s="3" t="s">
        <v>234</v>
      </c>
      <c r="D1506" s="3" t="s">
        <v>33</v>
      </c>
      <c r="E1506" s="3" t="s">
        <v>2739</v>
      </c>
      <c r="F1506" s="4">
        <v>43542.970833333333</v>
      </c>
      <c r="G1506" s="3"/>
      <c r="H1506" s="3"/>
      <c r="I1506" s="3" t="s">
        <v>7043</v>
      </c>
      <c r="J1506" s="3"/>
      <c r="K1506" s="3"/>
      <c r="L1506" s="5"/>
    </row>
    <row r="1507" spans="1:12" ht="43.2" x14ac:dyDescent="0.55000000000000004">
      <c r="A1507" s="9" t="str">
        <f>HYPERLINK("PDF\FOIA-FWS-2020-00724-0001506.pdf","FOIA-FWS-2020-00724-0001506")</f>
        <v>FOIA-FWS-2020-00724-0001506</v>
      </c>
      <c r="B1507" s="3" t="s">
        <v>2740</v>
      </c>
      <c r="C1507" s="3" t="s">
        <v>3</v>
      </c>
      <c r="D1507" s="3" t="s">
        <v>33</v>
      </c>
      <c r="E1507" s="3" t="s">
        <v>2741</v>
      </c>
      <c r="F1507" s="4">
        <v>43543</v>
      </c>
      <c r="G1507" s="3"/>
      <c r="H1507" s="3"/>
      <c r="I1507" s="3" t="s">
        <v>7044</v>
      </c>
      <c r="J1507" s="3" t="s">
        <v>7046</v>
      </c>
      <c r="K1507" s="3" t="s">
        <v>7036</v>
      </c>
      <c r="L1507" s="5"/>
    </row>
    <row r="1508" spans="1:12" ht="28.8" x14ac:dyDescent="0.55000000000000004">
      <c r="A1508" s="9" t="str">
        <f>HYPERLINK("PDF\FOIA-FWS-2020-00724-0001507.pdf","FOIA-FWS-2020-00724-0001507")</f>
        <v>FOIA-FWS-2020-00724-0001507</v>
      </c>
      <c r="B1508" s="3" t="s">
        <v>2742</v>
      </c>
      <c r="C1508" s="3" t="s">
        <v>3</v>
      </c>
      <c r="D1508" s="3" t="s">
        <v>33</v>
      </c>
      <c r="E1508" s="3" t="s">
        <v>2743</v>
      </c>
      <c r="F1508" s="4">
        <v>43543</v>
      </c>
      <c r="G1508" s="3"/>
      <c r="H1508" s="3"/>
      <c r="I1508" s="3" t="s">
        <v>7043</v>
      </c>
      <c r="J1508" s="3"/>
      <c r="K1508" s="3"/>
      <c r="L1508" s="5"/>
    </row>
    <row r="1509" spans="1:12" ht="28.8" x14ac:dyDescent="0.55000000000000004">
      <c r="A1509" s="9" t="str">
        <f>HYPERLINK("PDF\FOIA-FWS-2020-00724-0001508.pdf","FOIA-FWS-2020-00724-0001508")</f>
        <v>FOIA-FWS-2020-00724-0001508</v>
      </c>
      <c r="B1509" s="3" t="s">
        <v>2744</v>
      </c>
      <c r="C1509" s="3" t="s">
        <v>3</v>
      </c>
      <c r="D1509" s="3" t="s">
        <v>33</v>
      </c>
      <c r="E1509" s="3" t="s">
        <v>2745</v>
      </c>
      <c r="F1509" s="4">
        <v>43543.412499999999</v>
      </c>
      <c r="G1509" s="3" t="s">
        <v>955</v>
      </c>
      <c r="H1509" s="3" t="s">
        <v>1119</v>
      </c>
      <c r="I1509" s="3" t="s">
        <v>7043</v>
      </c>
      <c r="J1509" s="3"/>
      <c r="K1509" s="3"/>
      <c r="L1509" s="5"/>
    </row>
    <row r="1510" spans="1:12" ht="28.8" x14ac:dyDescent="0.55000000000000004">
      <c r="A1510" s="9" t="str">
        <f>HYPERLINK("PDF\FOIA-FWS-2020-00724-0001509.pdf","FOIA-FWS-2020-00724-0001509")</f>
        <v>FOIA-FWS-2020-00724-0001509</v>
      </c>
      <c r="B1510" s="3" t="s">
        <v>2744</v>
      </c>
      <c r="C1510" s="3" t="s">
        <v>234</v>
      </c>
      <c r="D1510" s="3" t="s">
        <v>33</v>
      </c>
      <c r="E1510" s="3" t="s">
        <v>2746</v>
      </c>
      <c r="F1510" s="4">
        <v>43543.412499999999</v>
      </c>
      <c r="G1510" s="3"/>
      <c r="H1510" s="3"/>
      <c r="I1510" s="3" t="s">
        <v>7043</v>
      </c>
      <c r="J1510" s="3"/>
      <c r="K1510" s="3"/>
      <c r="L1510" s="5"/>
    </row>
    <row r="1511" spans="1:12" ht="28.8" x14ac:dyDescent="0.55000000000000004">
      <c r="A1511" s="9" t="str">
        <f>HYPERLINK("PDF\FOIA-FWS-2020-00724-0001510.pdf","FOIA-FWS-2020-00724-0001510")</f>
        <v>FOIA-FWS-2020-00724-0001510</v>
      </c>
      <c r="B1511" s="3" t="s">
        <v>2747</v>
      </c>
      <c r="C1511" s="3" t="s">
        <v>3</v>
      </c>
      <c r="D1511" s="3" t="s">
        <v>33</v>
      </c>
      <c r="E1511" s="3" t="s">
        <v>2748</v>
      </c>
      <c r="F1511" s="4">
        <v>43543.426388888889</v>
      </c>
      <c r="G1511" s="3" t="s">
        <v>1119</v>
      </c>
      <c r="H1511" s="3" t="s">
        <v>955</v>
      </c>
      <c r="I1511" s="3" t="s">
        <v>7043</v>
      </c>
      <c r="J1511" s="3"/>
      <c r="K1511" s="3"/>
      <c r="L1511" s="5"/>
    </row>
    <row r="1512" spans="1:12" ht="28.8" x14ac:dyDescent="0.55000000000000004">
      <c r="A1512" s="9" t="str">
        <f>HYPERLINK("PDF\FOIA-FWS-2020-00724-0001511.pdf","FOIA-FWS-2020-00724-0001511")</f>
        <v>FOIA-FWS-2020-00724-0001511</v>
      </c>
      <c r="B1512" s="3" t="s">
        <v>2747</v>
      </c>
      <c r="C1512" s="3" t="s">
        <v>234</v>
      </c>
      <c r="D1512" s="3" t="s">
        <v>33</v>
      </c>
      <c r="E1512" s="3" t="s">
        <v>2749</v>
      </c>
      <c r="F1512" s="4">
        <v>43543.426388888889</v>
      </c>
      <c r="G1512" s="3"/>
      <c r="H1512" s="3"/>
      <c r="I1512" s="3" t="s">
        <v>7043</v>
      </c>
      <c r="J1512" s="3"/>
      <c r="K1512" s="3"/>
      <c r="L1512" s="5"/>
    </row>
    <row r="1513" spans="1:12" ht="28.8" x14ac:dyDescent="0.55000000000000004">
      <c r="A1513" s="9" t="str">
        <f>HYPERLINK("PDF\FOIA-FWS-2020-00724-0001512.pdf","FOIA-FWS-2020-00724-0001512")</f>
        <v>FOIA-FWS-2020-00724-0001512</v>
      </c>
      <c r="B1513" s="3" t="s">
        <v>2750</v>
      </c>
      <c r="C1513" s="3" t="s">
        <v>3</v>
      </c>
      <c r="D1513" s="3" t="s">
        <v>33</v>
      </c>
      <c r="E1513" s="3" t="s">
        <v>2745</v>
      </c>
      <c r="F1513" s="4">
        <v>43543.439583333333</v>
      </c>
      <c r="G1513" s="3" t="s">
        <v>955</v>
      </c>
      <c r="H1513" s="3" t="s">
        <v>1119</v>
      </c>
      <c r="I1513" s="3" t="s">
        <v>7043</v>
      </c>
      <c r="J1513" s="3"/>
      <c r="K1513" s="3"/>
      <c r="L1513" s="5"/>
    </row>
    <row r="1514" spans="1:12" ht="28.8" x14ac:dyDescent="0.55000000000000004">
      <c r="A1514" s="9" t="str">
        <f>HYPERLINK("PDF\FOIA-FWS-2020-00724-0001513.pdf","FOIA-FWS-2020-00724-0001513")</f>
        <v>FOIA-FWS-2020-00724-0001513</v>
      </c>
      <c r="B1514" s="3" t="s">
        <v>2751</v>
      </c>
      <c r="C1514" s="3" t="s">
        <v>3</v>
      </c>
      <c r="D1514" s="3" t="s">
        <v>33</v>
      </c>
      <c r="E1514" s="3" t="s">
        <v>2752</v>
      </c>
      <c r="F1514" s="4">
        <v>43543.440972222219</v>
      </c>
      <c r="G1514" s="3" t="s">
        <v>955</v>
      </c>
      <c r="H1514" s="3" t="s">
        <v>1135</v>
      </c>
      <c r="I1514" s="3" t="s">
        <v>7043</v>
      </c>
      <c r="J1514" s="3"/>
      <c r="K1514" s="3"/>
      <c r="L1514" s="5"/>
    </row>
    <row r="1515" spans="1:12" ht="28.8" x14ac:dyDescent="0.55000000000000004">
      <c r="A1515" s="9" t="str">
        <f>HYPERLINK("PDF\FOIA-FWS-2020-00724-0001514.pdf","FOIA-FWS-2020-00724-0001514")</f>
        <v>FOIA-FWS-2020-00724-0001514</v>
      </c>
      <c r="B1515" s="3" t="s">
        <v>2751</v>
      </c>
      <c r="C1515" s="3" t="s">
        <v>234</v>
      </c>
      <c r="D1515" s="3" t="s">
        <v>33</v>
      </c>
      <c r="E1515" s="3" t="s">
        <v>2734</v>
      </c>
      <c r="F1515" s="4">
        <v>43543.440972222219</v>
      </c>
      <c r="G1515" s="3"/>
      <c r="H1515" s="3"/>
      <c r="I1515" s="3" t="s">
        <v>7043</v>
      </c>
      <c r="J1515" s="3"/>
      <c r="K1515" s="3"/>
      <c r="L1515" s="5"/>
    </row>
    <row r="1516" spans="1:12" ht="28.8" x14ac:dyDescent="0.55000000000000004">
      <c r="A1516" s="9" t="str">
        <f>HYPERLINK("PDF\FOIA-FWS-2020-00724-0001515.pdf","FOIA-FWS-2020-00724-0001515")</f>
        <v>FOIA-FWS-2020-00724-0001515</v>
      </c>
      <c r="B1516" s="3" t="s">
        <v>2753</v>
      </c>
      <c r="C1516" s="3" t="s">
        <v>3</v>
      </c>
      <c r="D1516" s="3" t="s">
        <v>33</v>
      </c>
      <c r="E1516" s="3" t="s">
        <v>2754</v>
      </c>
      <c r="F1516" s="4">
        <v>43543.472222222219</v>
      </c>
      <c r="G1516" s="3" t="s">
        <v>2166</v>
      </c>
      <c r="H1516" s="3" t="s">
        <v>955</v>
      </c>
      <c r="I1516" s="3" t="s">
        <v>7043</v>
      </c>
      <c r="J1516" s="3"/>
      <c r="K1516" s="3"/>
      <c r="L1516" s="5"/>
    </row>
    <row r="1517" spans="1:12" ht="28.8" x14ac:dyDescent="0.55000000000000004">
      <c r="A1517" s="9" t="str">
        <f>HYPERLINK("PDF\FOIA-FWS-2020-00724-0001516.pdf","FOIA-FWS-2020-00724-0001516")</f>
        <v>FOIA-FWS-2020-00724-0001516</v>
      </c>
      <c r="B1517" s="3" t="s">
        <v>2753</v>
      </c>
      <c r="C1517" s="3" t="s">
        <v>234</v>
      </c>
      <c r="D1517" s="3" t="s">
        <v>4</v>
      </c>
      <c r="E1517" s="3" t="s">
        <v>2755</v>
      </c>
      <c r="F1517" s="4">
        <v>43543.472222222219</v>
      </c>
      <c r="G1517" s="3"/>
      <c r="H1517" s="3"/>
      <c r="I1517" s="3" t="s">
        <v>7043</v>
      </c>
      <c r="J1517" s="3"/>
      <c r="K1517" s="3"/>
      <c r="L1517" s="5"/>
    </row>
    <row r="1518" spans="1:12" ht="86.4" x14ac:dyDescent="0.55000000000000004">
      <c r="A1518" s="9" t="str">
        <f>HYPERLINK("PDF\FOIA-FWS-2020-00724-0001517.pdf","FOIA-FWS-2020-00724-0001517")</f>
        <v>FOIA-FWS-2020-00724-0001517</v>
      </c>
      <c r="B1518" s="3" t="s">
        <v>2756</v>
      </c>
      <c r="C1518" s="3" t="s">
        <v>3</v>
      </c>
      <c r="D1518" s="3" t="s">
        <v>33</v>
      </c>
      <c r="E1518" s="3" t="s">
        <v>2758</v>
      </c>
      <c r="F1518" s="4">
        <v>43543.490972222222</v>
      </c>
      <c r="G1518" s="3" t="s">
        <v>1060</v>
      </c>
      <c r="H1518" s="3" t="s">
        <v>2757</v>
      </c>
      <c r="I1518" s="3" t="s">
        <v>7043</v>
      </c>
      <c r="J1518" s="3"/>
      <c r="K1518" s="3"/>
      <c r="L1518" s="5"/>
    </row>
    <row r="1519" spans="1:12" ht="28.8" x14ac:dyDescent="0.55000000000000004">
      <c r="A1519" s="9" t="str">
        <f>HYPERLINK("PDF\FOIA-FWS-2020-00724-0001518.pdf","FOIA-FWS-2020-00724-0001518")</f>
        <v>FOIA-FWS-2020-00724-0001518</v>
      </c>
      <c r="B1519" s="3" t="s">
        <v>2756</v>
      </c>
      <c r="C1519" s="3" t="s">
        <v>234</v>
      </c>
      <c r="D1519" s="3" t="s">
        <v>33</v>
      </c>
      <c r="E1519" s="3" t="s">
        <v>2759</v>
      </c>
      <c r="F1519" s="4">
        <v>43543.490972222222</v>
      </c>
      <c r="G1519" s="3"/>
      <c r="H1519" s="3"/>
      <c r="I1519" s="3" t="s">
        <v>7043</v>
      </c>
      <c r="J1519" s="3"/>
      <c r="K1519" s="3"/>
      <c r="L1519" s="5"/>
    </row>
    <row r="1520" spans="1:12" ht="115.2" x14ac:dyDescent="0.55000000000000004">
      <c r="A1520" s="9" t="str">
        <f>HYPERLINK("PDF\FOIA-FWS-2020-00724-0001519.pdf","FOIA-FWS-2020-00724-0001519")</f>
        <v>FOIA-FWS-2020-00724-0001519</v>
      </c>
      <c r="B1520" s="3" t="s">
        <v>2760</v>
      </c>
      <c r="C1520" s="3" t="s">
        <v>3</v>
      </c>
      <c r="D1520" s="3" t="s">
        <v>33</v>
      </c>
      <c r="E1520" s="3" t="s">
        <v>2761</v>
      </c>
      <c r="F1520" s="4">
        <v>43543.493750000001</v>
      </c>
      <c r="G1520" s="3" t="s">
        <v>963</v>
      </c>
      <c r="H1520" s="3" t="s">
        <v>2235</v>
      </c>
      <c r="I1520" s="3" t="s">
        <v>864</v>
      </c>
      <c r="J1520" s="3" t="s">
        <v>7046</v>
      </c>
      <c r="K1520" s="3" t="s">
        <v>7036</v>
      </c>
      <c r="L1520" s="5"/>
    </row>
    <row r="1521" spans="1:12" ht="28.8" x14ac:dyDescent="0.55000000000000004">
      <c r="A1521" s="9" t="str">
        <f>HYPERLINK("PDF\FOIA-FWS-2020-00724-0001520.pdf","FOIA-FWS-2020-00724-0001520")</f>
        <v>FOIA-FWS-2020-00724-0001520</v>
      </c>
      <c r="B1521" s="3" t="s">
        <v>2762</v>
      </c>
      <c r="C1521" s="3" t="s">
        <v>3</v>
      </c>
      <c r="D1521" s="3" t="s">
        <v>33</v>
      </c>
      <c r="E1521" s="3" t="s">
        <v>2763</v>
      </c>
      <c r="F1521" s="4">
        <v>43543.496527777781</v>
      </c>
      <c r="G1521" s="3" t="s">
        <v>1060</v>
      </c>
      <c r="H1521" s="3" t="s">
        <v>872</v>
      </c>
      <c r="I1521" s="3" t="s">
        <v>864</v>
      </c>
      <c r="J1521" s="3" t="s">
        <v>7046</v>
      </c>
      <c r="K1521" s="3" t="s">
        <v>7036</v>
      </c>
      <c r="L1521" s="5"/>
    </row>
    <row r="1522" spans="1:12" ht="43.2" x14ac:dyDescent="0.55000000000000004">
      <c r="A1522" s="9" t="str">
        <f>HYPERLINK("PDF\FOIA-FWS-2020-00724-0001521.pdf","FOIA-FWS-2020-00724-0001521")</f>
        <v>FOIA-FWS-2020-00724-0001521</v>
      </c>
      <c r="B1522" s="3" t="s">
        <v>2764</v>
      </c>
      <c r="C1522" s="3" t="s">
        <v>3</v>
      </c>
      <c r="D1522" s="3" t="s">
        <v>33</v>
      </c>
      <c r="E1522" s="3" t="s">
        <v>2766</v>
      </c>
      <c r="F1522" s="4">
        <v>43543.697222222225</v>
      </c>
      <c r="G1522" s="3" t="s">
        <v>963</v>
      </c>
      <c r="H1522" s="3" t="s">
        <v>2765</v>
      </c>
      <c r="I1522" s="3" t="s">
        <v>864</v>
      </c>
      <c r="J1522" s="3" t="s">
        <v>7046</v>
      </c>
      <c r="K1522" s="3" t="s">
        <v>7036</v>
      </c>
      <c r="L1522" s="5"/>
    </row>
    <row r="1523" spans="1:12" ht="57.6" x14ac:dyDescent="0.55000000000000004">
      <c r="A1523" s="9" t="str">
        <f>HYPERLINK("PDF\FOIA-FWS-2020-00724-0001522.pdf","FOIA-FWS-2020-00724-0001522")</f>
        <v>FOIA-FWS-2020-00724-0001522</v>
      </c>
      <c r="B1523" s="3" t="s">
        <v>2764</v>
      </c>
      <c r="C1523" s="3" t="s">
        <v>234</v>
      </c>
      <c r="D1523" s="3" t="s">
        <v>33</v>
      </c>
      <c r="E1523" s="3" t="s">
        <v>867</v>
      </c>
      <c r="F1523" s="4">
        <v>43543.697222222225</v>
      </c>
      <c r="G1523" s="3" t="s">
        <v>2007</v>
      </c>
      <c r="H1523" s="3" t="s">
        <v>2767</v>
      </c>
      <c r="I1523" s="3" t="s">
        <v>7043</v>
      </c>
      <c r="J1523" s="3"/>
      <c r="K1523" s="3"/>
      <c r="L1523" s="5"/>
    </row>
    <row r="1524" spans="1:12" ht="28.8" x14ac:dyDescent="0.55000000000000004">
      <c r="A1524" s="9" t="str">
        <f>HYPERLINK("PDF\FOIA-FWS-2020-00724-0001523.pdf","FOIA-FWS-2020-00724-0001523")</f>
        <v>FOIA-FWS-2020-00724-0001523</v>
      </c>
      <c r="B1524" s="3" t="s">
        <v>2768</v>
      </c>
      <c r="C1524" s="3" t="s">
        <v>3</v>
      </c>
      <c r="D1524" s="3" t="s">
        <v>33</v>
      </c>
      <c r="E1524" s="3" t="s">
        <v>2769</v>
      </c>
      <c r="F1524" s="4">
        <v>43544.490972222222</v>
      </c>
      <c r="G1524" s="3" t="s">
        <v>919</v>
      </c>
      <c r="H1524" s="3" t="s">
        <v>963</v>
      </c>
      <c r="I1524" s="3" t="s">
        <v>7043</v>
      </c>
      <c r="J1524" s="3"/>
      <c r="K1524" s="3"/>
      <c r="L1524" s="5"/>
    </row>
    <row r="1525" spans="1:12" ht="28.8" x14ac:dyDescent="0.55000000000000004">
      <c r="A1525" s="9" t="str">
        <f>HYPERLINK("PDF\FOIA-FWS-2020-00724-0001524.pdf","FOIA-FWS-2020-00724-0001524")</f>
        <v>FOIA-FWS-2020-00724-0001524</v>
      </c>
      <c r="B1525" s="3" t="s">
        <v>2770</v>
      </c>
      <c r="C1525" s="3" t="s">
        <v>3</v>
      </c>
      <c r="D1525" s="3" t="s">
        <v>33</v>
      </c>
      <c r="E1525" s="3" t="s">
        <v>2771</v>
      </c>
      <c r="F1525" s="4">
        <v>43544.494444444441</v>
      </c>
      <c r="G1525" s="3" t="s">
        <v>872</v>
      </c>
      <c r="H1525" s="3" t="s">
        <v>1250</v>
      </c>
      <c r="I1525" s="3" t="s">
        <v>7043</v>
      </c>
      <c r="J1525" s="3"/>
      <c r="K1525" s="3"/>
      <c r="L1525" s="5"/>
    </row>
    <row r="1526" spans="1:12" ht="28.8" x14ac:dyDescent="0.55000000000000004">
      <c r="A1526" s="9" t="str">
        <f>HYPERLINK("PDF\FOIA-FWS-2020-00724-0001525.pdf","FOIA-FWS-2020-00724-0001525")</f>
        <v>FOIA-FWS-2020-00724-0001525</v>
      </c>
      <c r="B1526" s="3" t="s">
        <v>2772</v>
      </c>
      <c r="C1526" s="3" t="s">
        <v>3</v>
      </c>
      <c r="D1526" s="3" t="s">
        <v>33</v>
      </c>
      <c r="E1526" s="3" t="s">
        <v>2774</v>
      </c>
      <c r="F1526" s="4">
        <v>43544.588888888888</v>
      </c>
      <c r="G1526" s="3" t="s">
        <v>872</v>
      </c>
      <c r="H1526" s="3" t="s">
        <v>2773</v>
      </c>
      <c r="I1526" s="3" t="s">
        <v>7043</v>
      </c>
      <c r="J1526" s="3"/>
      <c r="K1526" s="3"/>
      <c r="L1526" s="5"/>
    </row>
    <row r="1527" spans="1:12" ht="28.8" x14ac:dyDescent="0.55000000000000004">
      <c r="A1527" s="9" t="str">
        <f>HYPERLINK("PDF\FOIA-FWS-2020-00724-0001526.pdf","FOIA-FWS-2020-00724-0001526")</f>
        <v>FOIA-FWS-2020-00724-0001526</v>
      </c>
      <c r="B1527" s="3" t="s">
        <v>2775</v>
      </c>
      <c r="C1527" s="3" t="s">
        <v>3</v>
      </c>
      <c r="D1527" s="3" t="s">
        <v>33</v>
      </c>
      <c r="E1527" s="3" t="s">
        <v>2776</v>
      </c>
      <c r="F1527" s="4">
        <v>43544.716666666667</v>
      </c>
      <c r="G1527" s="3" t="s">
        <v>2022</v>
      </c>
      <c r="H1527" s="3" t="s">
        <v>955</v>
      </c>
      <c r="I1527" s="3" t="s">
        <v>7043</v>
      </c>
      <c r="J1527" s="3"/>
      <c r="K1527" s="3"/>
      <c r="L1527" s="5"/>
    </row>
    <row r="1528" spans="1:12" ht="28.8" x14ac:dyDescent="0.55000000000000004">
      <c r="A1528" s="9" t="str">
        <f>HYPERLINK("PDF\FOIA-FWS-2020-00724-0001527.pdf","FOIA-FWS-2020-00724-0001527")</f>
        <v>FOIA-FWS-2020-00724-0001527</v>
      </c>
      <c r="B1528" s="3" t="s">
        <v>2775</v>
      </c>
      <c r="C1528" s="3" t="s">
        <v>234</v>
      </c>
      <c r="D1528" s="3" t="s">
        <v>33</v>
      </c>
      <c r="E1528" s="3" t="s">
        <v>2777</v>
      </c>
      <c r="F1528" s="4">
        <v>43544.716666666667</v>
      </c>
      <c r="G1528" s="3"/>
      <c r="H1528" s="3"/>
      <c r="I1528" s="3" t="s">
        <v>7043</v>
      </c>
      <c r="J1528" s="3"/>
      <c r="K1528" s="3"/>
      <c r="L1528" s="5"/>
    </row>
    <row r="1529" spans="1:12" ht="28.8" x14ac:dyDescent="0.55000000000000004">
      <c r="A1529" s="9" t="str">
        <f>HYPERLINK("PDF\FOIA-FWS-2020-00724-0001528.pdf","FOIA-FWS-2020-00724-0001528")</f>
        <v>FOIA-FWS-2020-00724-0001528</v>
      </c>
      <c r="B1529" s="3" t="s">
        <v>2775</v>
      </c>
      <c r="C1529" s="3" t="s">
        <v>234</v>
      </c>
      <c r="D1529" s="3" t="s">
        <v>160</v>
      </c>
      <c r="E1529" s="3" t="s">
        <v>2778</v>
      </c>
      <c r="F1529" s="4">
        <v>43544.716666666667</v>
      </c>
      <c r="G1529" s="3"/>
      <c r="H1529" s="3"/>
      <c r="I1529" s="3" t="s">
        <v>7043</v>
      </c>
      <c r="J1529" s="3"/>
      <c r="K1529" s="3"/>
      <c r="L1529" s="5"/>
    </row>
    <row r="1530" spans="1:12" ht="28.8" x14ac:dyDescent="0.55000000000000004">
      <c r="A1530" s="9" t="str">
        <f>HYPERLINK("PDF\FOIA-FWS-2020-00724-0001529.pdf","FOIA-FWS-2020-00724-0001529")</f>
        <v>FOIA-FWS-2020-00724-0001529</v>
      </c>
      <c r="B1530" s="3" t="s">
        <v>2775</v>
      </c>
      <c r="C1530" s="3" t="s">
        <v>234</v>
      </c>
      <c r="D1530" s="3" t="s">
        <v>160</v>
      </c>
      <c r="E1530" s="3" t="s">
        <v>2779</v>
      </c>
      <c r="F1530" s="4">
        <v>43544.716666666667</v>
      </c>
      <c r="G1530" s="3"/>
      <c r="H1530" s="3"/>
      <c r="I1530" s="3" t="s">
        <v>7043</v>
      </c>
      <c r="J1530" s="3"/>
      <c r="K1530" s="3"/>
      <c r="L1530" s="5"/>
    </row>
    <row r="1531" spans="1:12" ht="28.8" x14ac:dyDescent="0.55000000000000004">
      <c r="A1531" s="9" t="str">
        <f>HYPERLINK("PDF\FOIA-FWS-2020-00724-0001530.pdf","FOIA-FWS-2020-00724-0001530")</f>
        <v>FOIA-FWS-2020-00724-0001530</v>
      </c>
      <c r="B1531" s="3" t="s">
        <v>2775</v>
      </c>
      <c r="C1531" s="3" t="s">
        <v>234</v>
      </c>
      <c r="D1531" s="3" t="s">
        <v>33</v>
      </c>
      <c r="E1531" s="3" t="s">
        <v>2780</v>
      </c>
      <c r="F1531" s="4">
        <v>43544.716666666667</v>
      </c>
      <c r="G1531" s="3"/>
      <c r="H1531" s="3"/>
      <c r="I1531" s="3" t="s">
        <v>7043</v>
      </c>
      <c r="J1531" s="3"/>
      <c r="K1531" s="3"/>
      <c r="L1531" s="5"/>
    </row>
    <row r="1532" spans="1:12" ht="28.8" x14ac:dyDescent="0.55000000000000004">
      <c r="A1532" s="9" t="str">
        <f>HYPERLINK("PDF\FOIA-FWS-2020-00724-0001531.pdf","FOIA-FWS-2020-00724-0001531")</f>
        <v>FOIA-FWS-2020-00724-0001531</v>
      </c>
      <c r="B1532" s="3" t="s">
        <v>2781</v>
      </c>
      <c r="C1532" s="3" t="s">
        <v>3</v>
      </c>
      <c r="D1532" s="3" t="s">
        <v>33</v>
      </c>
      <c r="E1532" s="3" t="s">
        <v>2783</v>
      </c>
      <c r="F1532" s="4">
        <v>43544.739583333336</v>
      </c>
      <c r="G1532" s="3" t="s">
        <v>919</v>
      </c>
      <c r="H1532" s="3" t="s">
        <v>2782</v>
      </c>
      <c r="I1532" s="3" t="s">
        <v>7043</v>
      </c>
      <c r="J1532" s="3"/>
      <c r="K1532" s="3"/>
      <c r="L1532" s="5"/>
    </row>
    <row r="1533" spans="1:12" ht="28.8" x14ac:dyDescent="0.55000000000000004">
      <c r="A1533" s="9" t="str">
        <f>HYPERLINK("PDF\FOIA-FWS-2020-00724-0001532.pdf","FOIA-FWS-2020-00724-0001532")</f>
        <v>FOIA-FWS-2020-00724-0001532</v>
      </c>
      <c r="B1533" s="3" t="s">
        <v>2784</v>
      </c>
      <c r="C1533" s="3" t="s">
        <v>3</v>
      </c>
      <c r="D1533" s="3" t="s">
        <v>33</v>
      </c>
      <c r="E1533" s="3" t="s">
        <v>2785</v>
      </c>
      <c r="F1533" s="4">
        <v>43544.74722222222</v>
      </c>
      <c r="G1533" s="3" t="s">
        <v>2211</v>
      </c>
      <c r="H1533" s="3" t="s">
        <v>872</v>
      </c>
      <c r="I1533" s="3" t="s">
        <v>7043</v>
      </c>
      <c r="J1533" s="3"/>
      <c r="K1533" s="3"/>
      <c r="L1533" s="5"/>
    </row>
    <row r="1534" spans="1:12" ht="28.8" x14ac:dyDescent="0.55000000000000004">
      <c r="A1534" s="9" t="str">
        <f>HYPERLINK("PDF\FOIA-FWS-2020-00724-0001533.pdf","FOIA-FWS-2020-00724-0001533")</f>
        <v>FOIA-FWS-2020-00724-0001533</v>
      </c>
      <c r="B1534" s="3" t="s">
        <v>2786</v>
      </c>
      <c r="C1534" s="3" t="s">
        <v>3</v>
      </c>
      <c r="D1534" s="3" t="s">
        <v>33</v>
      </c>
      <c r="E1534" s="3" t="s">
        <v>2788</v>
      </c>
      <c r="F1534" s="4">
        <v>43544.797222222223</v>
      </c>
      <c r="G1534" s="3" t="s">
        <v>2565</v>
      </c>
      <c r="H1534" s="3" t="s">
        <v>2787</v>
      </c>
      <c r="I1534" s="3" t="s">
        <v>7043</v>
      </c>
      <c r="J1534" s="3"/>
      <c r="K1534" s="3"/>
      <c r="L1534" s="5"/>
    </row>
    <row r="1535" spans="1:12" ht="28.8" x14ac:dyDescent="0.55000000000000004">
      <c r="A1535" s="9" t="str">
        <f>HYPERLINK("PDF\FOIA-FWS-2020-00724-0001534.pdf","FOIA-FWS-2020-00724-0001534")</f>
        <v>FOIA-FWS-2020-00724-0001534</v>
      </c>
      <c r="B1535" s="3" t="s">
        <v>2789</v>
      </c>
      <c r="C1535" s="3" t="s">
        <v>3</v>
      </c>
      <c r="D1535" s="3" t="s">
        <v>33</v>
      </c>
      <c r="E1535" s="3" t="s">
        <v>2790</v>
      </c>
      <c r="F1535" s="4">
        <v>43545.436111111114</v>
      </c>
      <c r="G1535" s="3" t="s">
        <v>2211</v>
      </c>
      <c r="H1535" s="3" t="s">
        <v>955</v>
      </c>
      <c r="I1535" s="3" t="s">
        <v>7043</v>
      </c>
      <c r="J1535" s="3"/>
      <c r="K1535" s="3"/>
      <c r="L1535" s="5"/>
    </row>
    <row r="1536" spans="1:12" ht="28.8" x14ac:dyDescent="0.55000000000000004">
      <c r="A1536" s="9" t="str">
        <f>HYPERLINK("PDF\FOIA-FWS-2020-00724-0001535.pdf","FOIA-FWS-2020-00724-0001535")</f>
        <v>FOIA-FWS-2020-00724-0001535</v>
      </c>
      <c r="B1536" s="3" t="s">
        <v>2791</v>
      </c>
      <c r="C1536" s="3" t="s">
        <v>3</v>
      </c>
      <c r="D1536" s="3" t="s">
        <v>33</v>
      </c>
      <c r="E1536" s="3" t="s">
        <v>2792</v>
      </c>
      <c r="F1536" s="4">
        <v>43546.472916666666</v>
      </c>
      <c r="G1536" s="3" t="s">
        <v>2211</v>
      </c>
      <c r="H1536" s="3" t="s">
        <v>872</v>
      </c>
      <c r="I1536" s="3" t="s">
        <v>7043</v>
      </c>
      <c r="J1536" s="3"/>
      <c r="K1536" s="3"/>
      <c r="L1536" s="5"/>
    </row>
    <row r="1537" spans="1:12" ht="28.8" x14ac:dyDescent="0.55000000000000004">
      <c r="A1537" s="9" t="str">
        <f>HYPERLINK("PDF\FOIA-FWS-2020-00724-0001536.pdf","FOIA-FWS-2020-00724-0001536")</f>
        <v>FOIA-FWS-2020-00724-0001536</v>
      </c>
      <c r="B1537" s="3" t="s">
        <v>2791</v>
      </c>
      <c r="C1537" s="3" t="s">
        <v>234</v>
      </c>
      <c r="D1537" s="3" t="s">
        <v>33</v>
      </c>
      <c r="E1537" s="3" t="s">
        <v>2793</v>
      </c>
      <c r="F1537" s="4">
        <v>43546.472916666666</v>
      </c>
      <c r="G1537" s="3"/>
      <c r="H1537" s="3"/>
      <c r="I1537" s="3" t="s">
        <v>7043</v>
      </c>
      <c r="J1537" s="3"/>
      <c r="K1537" s="3"/>
      <c r="L1537" s="5"/>
    </row>
    <row r="1538" spans="1:12" ht="28.8" x14ac:dyDescent="0.55000000000000004">
      <c r="A1538" s="9" t="str">
        <f>HYPERLINK("PDF\FOIA-FWS-2020-00724-0001537.pdf","FOIA-FWS-2020-00724-0001537")</f>
        <v>FOIA-FWS-2020-00724-0001537</v>
      </c>
      <c r="B1538" s="3" t="s">
        <v>2791</v>
      </c>
      <c r="C1538" s="3" t="s">
        <v>234</v>
      </c>
      <c r="D1538" s="3" t="s">
        <v>33</v>
      </c>
      <c r="E1538" s="3" t="s">
        <v>2795</v>
      </c>
      <c r="F1538" s="4">
        <v>43546.472916666666</v>
      </c>
      <c r="G1538" s="3" t="s">
        <v>2509</v>
      </c>
      <c r="H1538" s="3" t="s">
        <v>2794</v>
      </c>
      <c r="I1538" s="3" t="s">
        <v>7043</v>
      </c>
      <c r="J1538" s="3"/>
      <c r="K1538" s="3"/>
      <c r="L1538" s="5"/>
    </row>
    <row r="1539" spans="1:12" ht="28.8" x14ac:dyDescent="0.55000000000000004">
      <c r="A1539" s="9" t="str">
        <f>HYPERLINK("PDF\FOIA-FWS-2020-00724-0001538.pdf","FOIA-FWS-2020-00724-0001538")</f>
        <v>FOIA-FWS-2020-00724-0001538</v>
      </c>
      <c r="B1539" s="3" t="s">
        <v>2791</v>
      </c>
      <c r="C1539" s="3" t="s">
        <v>234</v>
      </c>
      <c r="D1539" s="3" t="s">
        <v>38</v>
      </c>
      <c r="E1539" s="3" t="s">
        <v>2512</v>
      </c>
      <c r="F1539" s="4">
        <v>43546.472916666666</v>
      </c>
      <c r="G1539" s="3"/>
      <c r="H1539" s="3"/>
      <c r="I1539" s="3" t="s">
        <v>7043</v>
      </c>
      <c r="J1539" s="3"/>
      <c r="K1539" s="3"/>
      <c r="L1539" s="5"/>
    </row>
    <row r="1540" spans="1:12" ht="28.8" x14ac:dyDescent="0.55000000000000004">
      <c r="A1540" s="9" t="str">
        <f>HYPERLINK("PDF\FOIA-FWS-2020-00724-0001539.pdf","FOIA-FWS-2020-00724-0001539")</f>
        <v>FOIA-FWS-2020-00724-0001539</v>
      </c>
      <c r="B1540" s="3" t="s">
        <v>2791</v>
      </c>
      <c r="C1540" s="3" t="s">
        <v>234</v>
      </c>
      <c r="D1540" s="3" t="s">
        <v>33</v>
      </c>
      <c r="E1540" s="3" t="s">
        <v>2796</v>
      </c>
      <c r="F1540" s="4">
        <v>43546.472916666666</v>
      </c>
      <c r="G1540" s="3"/>
      <c r="H1540" s="3"/>
      <c r="I1540" s="3" t="s">
        <v>7043</v>
      </c>
      <c r="J1540" s="3"/>
      <c r="K1540" s="3"/>
      <c r="L1540" s="5"/>
    </row>
    <row r="1541" spans="1:12" ht="28.8" x14ac:dyDescent="0.55000000000000004">
      <c r="A1541" s="9" t="str">
        <f>HYPERLINK("PDF\FOIA-FWS-2020-00724-0001540.pdf","FOIA-FWS-2020-00724-0001540")</f>
        <v>FOIA-FWS-2020-00724-0001540</v>
      </c>
      <c r="B1541" s="3" t="s">
        <v>2791</v>
      </c>
      <c r="C1541" s="3" t="s">
        <v>234</v>
      </c>
      <c r="D1541" s="3" t="s">
        <v>33</v>
      </c>
      <c r="E1541" s="3" t="s">
        <v>2670</v>
      </c>
      <c r="F1541" s="4">
        <v>43546.472916666666</v>
      </c>
      <c r="G1541" s="3"/>
      <c r="H1541" s="3"/>
      <c r="I1541" s="3" t="s">
        <v>7043</v>
      </c>
      <c r="J1541" s="3"/>
      <c r="K1541" s="3"/>
      <c r="L1541" s="5"/>
    </row>
    <row r="1542" spans="1:12" ht="28.8" x14ac:dyDescent="0.55000000000000004">
      <c r="A1542" s="9" t="str">
        <f>HYPERLINK("PDF\FOIA-FWS-2020-00724-0001541.pdf","FOIA-FWS-2020-00724-0001541")</f>
        <v>FOIA-FWS-2020-00724-0001541</v>
      </c>
      <c r="B1542" s="3" t="s">
        <v>2791</v>
      </c>
      <c r="C1542" s="3" t="s">
        <v>234</v>
      </c>
      <c r="D1542" s="3" t="s">
        <v>33</v>
      </c>
      <c r="E1542" s="3" t="s">
        <v>2798</v>
      </c>
      <c r="F1542" s="4">
        <v>43546.472916666666</v>
      </c>
      <c r="G1542" s="3" t="s">
        <v>2509</v>
      </c>
      <c r="H1542" s="3" t="s">
        <v>2797</v>
      </c>
      <c r="I1542" s="3" t="s">
        <v>7043</v>
      </c>
      <c r="J1542" s="3"/>
      <c r="K1542" s="3"/>
      <c r="L1542" s="5"/>
    </row>
    <row r="1543" spans="1:12" ht="28.8" x14ac:dyDescent="0.55000000000000004">
      <c r="A1543" s="9" t="str">
        <f>HYPERLINK("PDF\FOIA-FWS-2020-00724-0001542.pdf","FOIA-FWS-2020-00724-0001542")</f>
        <v>FOIA-FWS-2020-00724-0001542</v>
      </c>
      <c r="B1543" s="3" t="s">
        <v>2791</v>
      </c>
      <c r="C1543" s="3" t="s">
        <v>234</v>
      </c>
      <c r="D1543" s="3" t="s">
        <v>33</v>
      </c>
      <c r="E1543" s="3" t="s">
        <v>1320</v>
      </c>
      <c r="F1543" s="4">
        <v>43546.472916666666</v>
      </c>
      <c r="G1543" s="3"/>
      <c r="H1543" s="3"/>
      <c r="I1543" s="3" t="s">
        <v>7043</v>
      </c>
      <c r="J1543" s="3"/>
      <c r="K1543" s="3"/>
      <c r="L1543" s="5"/>
    </row>
    <row r="1544" spans="1:12" ht="28.8" x14ac:dyDescent="0.55000000000000004">
      <c r="A1544" s="9" t="str">
        <f>HYPERLINK("PDF\FOIA-FWS-2020-00724-0001543.pdf","FOIA-FWS-2020-00724-0001543")</f>
        <v>FOIA-FWS-2020-00724-0001543</v>
      </c>
      <c r="B1544" s="3" t="s">
        <v>2791</v>
      </c>
      <c r="C1544" s="3" t="s">
        <v>234</v>
      </c>
      <c r="D1544" s="3" t="s">
        <v>33</v>
      </c>
      <c r="E1544" s="3" t="s">
        <v>2799</v>
      </c>
      <c r="F1544" s="4">
        <v>43546.472916666666</v>
      </c>
      <c r="G1544" s="3"/>
      <c r="H1544" s="3"/>
      <c r="I1544" s="3" t="s">
        <v>7043</v>
      </c>
      <c r="J1544" s="3"/>
      <c r="K1544" s="3"/>
      <c r="L1544" s="5"/>
    </row>
    <row r="1545" spans="1:12" ht="43.2" x14ac:dyDescent="0.55000000000000004">
      <c r="A1545" s="9" t="str">
        <f>HYPERLINK("PDF\FOIA-FWS-2020-00724-0001544.pdf","FOIA-FWS-2020-00724-0001544")</f>
        <v>FOIA-FWS-2020-00724-0001544</v>
      </c>
      <c r="B1545" s="3" t="s">
        <v>2791</v>
      </c>
      <c r="C1545" s="3" t="s">
        <v>234</v>
      </c>
      <c r="D1545" s="3" t="s">
        <v>33</v>
      </c>
      <c r="E1545" s="3" t="s">
        <v>2801</v>
      </c>
      <c r="F1545" s="4">
        <v>43546.472916666666</v>
      </c>
      <c r="G1545" s="3" t="s">
        <v>2509</v>
      </c>
      <c r="H1545" s="3" t="s">
        <v>2800</v>
      </c>
      <c r="I1545" s="3" t="s">
        <v>7043</v>
      </c>
      <c r="J1545" s="3"/>
      <c r="K1545" s="3"/>
      <c r="L1545" s="5"/>
    </row>
    <row r="1546" spans="1:12" ht="28.8" x14ac:dyDescent="0.55000000000000004">
      <c r="A1546" s="9" t="str">
        <f>HYPERLINK("PDF\FOIA-FWS-2020-00724-0001545.pdf","FOIA-FWS-2020-00724-0001545")</f>
        <v>FOIA-FWS-2020-00724-0001545</v>
      </c>
      <c r="B1546" s="3" t="s">
        <v>2802</v>
      </c>
      <c r="C1546" s="3" t="s">
        <v>3</v>
      </c>
      <c r="D1546" s="3" t="s">
        <v>33</v>
      </c>
      <c r="E1546" s="3" t="s">
        <v>2803</v>
      </c>
      <c r="F1546" s="4">
        <v>43546.591666666667</v>
      </c>
      <c r="G1546" s="3" t="s">
        <v>872</v>
      </c>
      <c r="H1546" s="3" t="s">
        <v>955</v>
      </c>
      <c r="I1546" s="3" t="s">
        <v>7043</v>
      </c>
      <c r="J1546" s="3"/>
      <c r="K1546" s="3"/>
      <c r="L1546" s="5"/>
    </row>
    <row r="1547" spans="1:12" ht="28.8" x14ac:dyDescent="0.55000000000000004">
      <c r="A1547" s="9" t="str">
        <f>HYPERLINK("PDF\FOIA-FWS-2020-00724-0001546.pdf","FOIA-FWS-2020-00724-0001546")</f>
        <v>FOIA-FWS-2020-00724-0001546</v>
      </c>
      <c r="B1547" s="3" t="s">
        <v>2802</v>
      </c>
      <c r="C1547" s="3" t="s">
        <v>234</v>
      </c>
      <c r="D1547" s="3" t="s">
        <v>33</v>
      </c>
      <c r="E1547" s="3" t="s">
        <v>2804</v>
      </c>
      <c r="F1547" s="4">
        <v>43546.591666666667</v>
      </c>
      <c r="G1547" s="3"/>
      <c r="H1547" s="3"/>
      <c r="I1547" s="3" t="s">
        <v>7043</v>
      </c>
      <c r="J1547" s="3"/>
      <c r="K1547" s="3"/>
      <c r="L1547" s="5"/>
    </row>
    <row r="1548" spans="1:12" ht="28.8" x14ac:dyDescent="0.55000000000000004">
      <c r="A1548" s="9" t="str">
        <f>HYPERLINK("PDF\FOIA-FWS-2020-00724-0001547.pdf","FOIA-FWS-2020-00724-0001547")</f>
        <v>FOIA-FWS-2020-00724-0001547</v>
      </c>
      <c r="B1548" s="3" t="s">
        <v>2802</v>
      </c>
      <c r="C1548" s="3" t="s">
        <v>234</v>
      </c>
      <c r="D1548" s="3" t="s">
        <v>33</v>
      </c>
      <c r="E1548" s="3" t="s">
        <v>2805</v>
      </c>
      <c r="F1548" s="4">
        <v>43546.591666666667</v>
      </c>
      <c r="G1548" s="3"/>
      <c r="H1548" s="3"/>
      <c r="I1548" s="3" t="s">
        <v>7043</v>
      </c>
      <c r="J1548" s="3"/>
      <c r="K1548" s="3"/>
      <c r="L1548" s="5" t="str">
        <f>HYPERLINK("NATIVE_FILES\FOIA-FWS-2020-00724-0001547.xlsx","FOIA-FWS-2020-00724-0001547.xlsx")</f>
        <v>FOIA-FWS-2020-00724-0001547.xlsx</v>
      </c>
    </row>
    <row r="1549" spans="1:12" ht="28.8" x14ac:dyDescent="0.55000000000000004">
      <c r="A1549" s="9" t="str">
        <f>HYPERLINK("PDF\FOIA-FWS-2020-00724-0001548.pdf","FOIA-FWS-2020-00724-0001548")</f>
        <v>FOIA-FWS-2020-00724-0001548</v>
      </c>
      <c r="B1549" s="3" t="s">
        <v>2806</v>
      </c>
      <c r="C1549" s="3" t="s">
        <v>3</v>
      </c>
      <c r="D1549" s="3" t="s">
        <v>33</v>
      </c>
      <c r="E1549" s="3" t="s">
        <v>2807</v>
      </c>
      <c r="F1549" s="4">
        <v>43547.039583333331</v>
      </c>
      <c r="G1549" s="3" t="s">
        <v>1119</v>
      </c>
      <c r="H1549" s="3" t="s">
        <v>955</v>
      </c>
      <c r="I1549" s="3" t="s">
        <v>7043</v>
      </c>
      <c r="J1549" s="3"/>
      <c r="K1549" s="3"/>
      <c r="L1549" s="5"/>
    </row>
    <row r="1550" spans="1:12" ht="28.8" x14ac:dyDescent="0.55000000000000004">
      <c r="A1550" s="9" t="str">
        <f>HYPERLINK("PDF\FOIA-FWS-2020-00724-0001549.pdf","FOIA-FWS-2020-00724-0001549")</f>
        <v>FOIA-FWS-2020-00724-0001549</v>
      </c>
      <c r="B1550" s="3" t="s">
        <v>2808</v>
      </c>
      <c r="C1550" s="3" t="s">
        <v>3</v>
      </c>
      <c r="D1550" s="3" t="s">
        <v>33</v>
      </c>
      <c r="E1550" s="3" t="s">
        <v>2807</v>
      </c>
      <c r="F1550" s="4">
        <v>43547.040972222225</v>
      </c>
      <c r="G1550" s="3" t="s">
        <v>1119</v>
      </c>
      <c r="H1550" s="3" t="s">
        <v>2641</v>
      </c>
      <c r="I1550" s="3" t="s">
        <v>7043</v>
      </c>
      <c r="J1550" s="3"/>
      <c r="K1550" s="3"/>
      <c r="L1550" s="5"/>
    </row>
    <row r="1551" spans="1:12" ht="28.8" x14ac:dyDescent="0.55000000000000004">
      <c r="A1551" s="9" t="str">
        <f>HYPERLINK("PDF\FOIA-FWS-2020-00724-0001550.pdf","FOIA-FWS-2020-00724-0001550")</f>
        <v>FOIA-FWS-2020-00724-0001550</v>
      </c>
      <c r="B1551" s="3" t="s">
        <v>2809</v>
      </c>
      <c r="C1551" s="3" t="s">
        <v>3</v>
      </c>
      <c r="D1551" s="3" t="s">
        <v>4</v>
      </c>
      <c r="E1551" s="3" t="s">
        <v>2810</v>
      </c>
      <c r="F1551" s="4">
        <v>43549</v>
      </c>
      <c r="G1551" s="3"/>
      <c r="H1551" s="3"/>
      <c r="I1551" s="3" t="s">
        <v>7043</v>
      </c>
      <c r="J1551" s="3"/>
      <c r="K1551" s="3"/>
      <c r="L1551" s="5"/>
    </row>
    <row r="1552" spans="1:12" ht="28.8" x14ac:dyDescent="0.55000000000000004">
      <c r="A1552" s="9" t="str">
        <f>HYPERLINK("PDF\FOIA-FWS-2020-00724-0001551.pdf","FOIA-FWS-2020-00724-0001551")</f>
        <v>FOIA-FWS-2020-00724-0001551</v>
      </c>
      <c r="B1552" s="3" t="s">
        <v>2811</v>
      </c>
      <c r="C1552" s="3" t="s">
        <v>3</v>
      </c>
      <c r="D1552" s="3" t="s">
        <v>4</v>
      </c>
      <c r="E1552" s="3" t="s">
        <v>2812</v>
      </c>
      <c r="F1552" s="4">
        <v>43550</v>
      </c>
      <c r="G1552" s="3"/>
      <c r="H1552" s="3"/>
      <c r="I1552" s="3" t="s">
        <v>7043</v>
      </c>
      <c r="J1552" s="3"/>
      <c r="K1552" s="3"/>
      <c r="L1552" s="5"/>
    </row>
    <row r="1553" spans="1:12" ht="43.2" x14ac:dyDescent="0.55000000000000004">
      <c r="A1553" s="9" t="str">
        <f>HYPERLINK("PDF\FOIA-FWS-2020-00724-0001552.pdf","FOIA-FWS-2020-00724-0001552")</f>
        <v>FOIA-FWS-2020-00724-0001552</v>
      </c>
      <c r="B1553" s="3" t="s">
        <v>2813</v>
      </c>
      <c r="C1553" s="3" t="s">
        <v>3</v>
      </c>
      <c r="D1553" s="3" t="s">
        <v>33</v>
      </c>
      <c r="E1553" s="3" t="s">
        <v>2815</v>
      </c>
      <c r="F1553" s="4">
        <v>43550.547222222223</v>
      </c>
      <c r="G1553" s="3" t="s">
        <v>963</v>
      </c>
      <c r="H1553" s="3" t="s">
        <v>2814</v>
      </c>
      <c r="I1553" s="3" t="s">
        <v>7043</v>
      </c>
      <c r="J1553" s="3"/>
      <c r="K1553" s="3"/>
      <c r="L1553" s="5"/>
    </row>
    <row r="1554" spans="1:12" ht="28.8" x14ac:dyDescent="0.55000000000000004">
      <c r="A1554" s="9" t="str">
        <f>HYPERLINK("PDF\FOIA-FWS-2020-00724-0001553.pdf","FOIA-FWS-2020-00724-0001553")</f>
        <v>FOIA-FWS-2020-00724-0001553</v>
      </c>
      <c r="B1554" s="3" t="s">
        <v>2816</v>
      </c>
      <c r="C1554" s="3" t="s">
        <v>3</v>
      </c>
      <c r="D1554" s="3" t="s">
        <v>33</v>
      </c>
      <c r="E1554" s="3" t="s">
        <v>2817</v>
      </c>
      <c r="F1554" s="4">
        <v>43552.71875</v>
      </c>
      <c r="G1554" s="3" t="s">
        <v>955</v>
      </c>
      <c r="H1554" s="3" t="s">
        <v>872</v>
      </c>
      <c r="I1554" s="3" t="s">
        <v>7043</v>
      </c>
      <c r="J1554" s="3"/>
      <c r="K1554" s="3"/>
      <c r="L1554" s="5"/>
    </row>
    <row r="1555" spans="1:12" ht="28.8" x14ac:dyDescent="0.55000000000000004">
      <c r="A1555" s="9" t="str">
        <f>HYPERLINK("PDF\FOIA-FWS-2020-00724-0001554.pdf","FOIA-FWS-2020-00724-0001554")</f>
        <v>FOIA-FWS-2020-00724-0001554</v>
      </c>
      <c r="B1555" s="3" t="s">
        <v>2818</v>
      </c>
      <c r="C1555" s="3" t="s">
        <v>3</v>
      </c>
      <c r="D1555" s="3" t="s">
        <v>33</v>
      </c>
      <c r="E1555" s="3" t="s">
        <v>2819</v>
      </c>
      <c r="F1555" s="4">
        <v>43552.72152777778</v>
      </c>
      <c r="G1555" s="3" t="s">
        <v>955</v>
      </c>
      <c r="H1555" s="3" t="s">
        <v>872</v>
      </c>
      <c r="I1555" s="3" t="s">
        <v>7043</v>
      </c>
      <c r="J1555" s="3"/>
      <c r="K1555" s="3"/>
      <c r="L1555" s="5"/>
    </row>
    <row r="1556" spans="1:12" ht="28.8" x14ac:dyDescent="0.55000000000000004">
      <c r="A1556" s="9" t="str">
        <f>HYPERLINK("PDF\FOIA-FWS-2020-00724-0001555.pdf","FOIA-FWS-2020-00724-0001555")</f>
        <v>FOIA-FWS-2020-00724-0001555</v>
      </c>
      <c r="B1556" s="3" t="s">
        <v>2820</v>
      </c>
      <c r="C1556" s="3" t="s">
        <v>3</v>
      </c>
      <c r="D1556" s="3" t="s">
        <v>33</v>
      </c>
      <c r="E1556" s="3" t="s">
        <v>2821</v>
      </c>
      <c r="F1556" s="4">
        <v>43552.782638888886</v>
      </c>
      <c r="G1556" s="3" t="s">
        <v>872</v>
      </c>
      <c r="H1556" s="3" t="s">
        <v>955</v>
      </c>
      <c r="I1556" s="3" t="s">
        <v>7043</v>
      </c>
      <c r="J1556" s="3"/>
      <c r="K1556" s="3"/>
      <c r="L1556" s="5"/>
    </row>
    <row r="1557" spans="1:12" ht="28.8" x14ac:dyDescent="0.55000000000000004">
      <c r="A1557" s="9" t="str">
        <f>HYPERLINK("PDF\FOIA-FWS-2020-00724-0001556.pdf","FOIA-FWS-2020-00724-0001556")</f>
        <v>FOIA-FWS-2020-00724-0001556</v>
      </c>
      <c r="B1557" s="3" t="s">
        <v>2822</v>
      </c>
      <c r="C1557" s="3" t="s">
        <v>3</v>
      </c>
      <c r="D1557" s="3" t="s">
        <v>33</v>
      </c>
      <c r="E1557" s="3" t="s">
        <v>2823</v>
      </c>
      <c r="F1557" s="4">
        <v>43553</v>
      </c>
      <c r="G1557" s="3"/>
      <c r="H1557" s="3"/>
      <c r="I1557" s="3" t="s">
        <v>7043</v>
      </c>
      <c r="J1557" s="3"/>
      <c r="K1557" s="3"/>
      <c r="L1557" s="5"/>
    </row>
    <row r="1558" spans="1:12" ht="28.8" x14ac:dyDescent="0.55000000000000004">
      <c r="A1558" s="9" t="str">
        <f>HYPERLINK("PDF\FOIA-FWS-2020-00724-0001557.pdf","FOIA-FWS-2020-00724-0001557")</f>
        <v>FOIA-FWS-2020-00724-0001557</v>
      </c>
      <c r="B1558" s="3" t="s">
        <v>2824</v>
      </c>
      <c r="C1558" s="3" t="s">
        <v>3</v>
      </c>
      <c r="D1558" s="3" t="s">
        <v>33</v>
      </c>
      <c r="E1558" s="3" t="s">
        <v>2825</v>
      </c>
      <c r="F1558" s="4">
        <v>43553.802777777775</v>
      </c>
      <c r="G1558" s="3" t="s">
        <v>1516</v>
      </c>
      <c r="H1558" s="3" t="s">
        <v>861</v>
      </c>
      <c r="I1558" s="3" t="s">
        <v>7043</v>
      </c>
      <c r="J1558" s="3"/>
      <c r="K1558" s="3"/>
      <c r="L1558" s="5"/>
    </row>
    <row r="1559" spans="1:12" ht="28.8" x14ac:dyDescent="0.55000000000000004">
      <c r="A1559" s="9" t="str">
        <f>HYPERLINK("PDF\FOIA-FWS-2020-00724-0001558.pdf","FOIA-FWS-2020-00724-0001558")</f>
        <v>FOIA-FWS-2020-00724-0001558</v>
      </c>
      <c r="B1559" s="3" t="s">
        <v>2824</v>
      </c>
      <c r="C1559" s="3" t="s">
        <v>234</v>
      </c>
      <c r="D1559" s="3" t="s">
        <v>4</v>
      </c>
      <c r="E1559" s="3" t="s">
        <v>2827</v>
      </c>
      <c r="F1559" s="4">
        <v>43553.802777777775</v>
      </c>
      <c r="G1559" s="3" t="s">
        <v>2826</v>
      </c>
      <c r="H1559" s="3"/>
      <c r="I1559" s="3" t="s">
        <v>7043</v>
      </c>
      <c r="J1559" s="3"/>
      <c r="K1559" s="3"/>
      <c r="L1559" s="5"/>
    </row>
    <row r="1560" spans="1:12" ht="28.8" x14ac:dyDescent="0.55000000000000004">
      <c r="A1560" s="9" t="str">
        <f>HYPERLINK("PDF\FOIA-FWS-2020-00724-0001559.pdf","FOIA-FWS-2020-00724-0001559")</f>
        <v>FOIA-FWS-2020-00724-0001559</v>
      </c>
      <c r="B1560" s="3" t="s">
        <v>2828</v>
      </c>
      <c r="C1560" s="3" t="s">
        <v>3</v>
      </c>
      <c r="D1560" s="3" t="s">
        <v>33</v>
      </c>
      <c r="E1560" s="3" t="s">
        <v>2829</v>
      </c>
      <c r="F1560" s="4">
        <v>43556</v>
      </c>
      <c r="G1560" s="3"/>
      <c r="H1560" s="3"/>
      <c r="I1560" s="3" t="s">
        <v>7043</v>
      </c>
      <c r="J1560" s="3"/>
      <c r="K1560" s="3"/>
      <c r="L1560" s="5"/>
    </row>
    <row r="1561" spans="1:12" ht="28.8" x14ac:dyDescent="0.55000000000000004">
      <c r="A1561" s="9" t="str">
        <f>HYPERLINK("PDF\FOIA-FWS-2020-00724-0001560.pdf","FOIA-FWS-2020-00724-0001560")</f>
        <v>FOIA-FWS-2020-00724-0001560</v>
      </c>
      <c r="B1561" s="3" t="s">
        <v>2830</v>
      </c>
      <c r="C1561" s="3" t="s">
        <v>3</v>
      </c>
      <c r="D1561" s="3" t="s">
        <v>33</v>
      </c>
      <c r="E1561" s="3" t="s">
        <v>2831</v>
      </c>
      <c r="F1561" s="4">
        <v>43556</v>
      </c>
      <c r="G1561" s="3"/>
      <c r="H1561" s="3"/>
      <c r="I1561" s="3" t="s">
        <v>7043</v>
      </c>
      <c r="J1561" s="3"/>
      <c r="K1561" s="3"/>
      <c r="L1561" s="5"/>
    </row>
    <row r="1562" spans="1:12" ht="28.8" x14ac:dyDescent="0.55000000000000004">
      <c r="A1562" s="9" t="str">
        <f>HYPERLINK("PDF\FOIA-FWS-2020-00724-0001561.pdf","FOIA-FWS-2020-00724-0001561")</f>
        <v>FOIA-FWS-2020-00724-0001561</v>
      </c>
      <c r="B1562" s="3" t="s">
        <v>2832</v>
      </c>
      <c r="C1562" s="3" t="s">
        <v>3</v>
      </c>
      <c r="D1562" s="3" t="s">
        <v>33</v>
      </c>
      <c r="E1562" s="3" t="s">
        <v>2833</v>
      </c>
      <c r="F1562" s="4">
        <v>43556</v>
      </c>
      <c r="G1562" s="3"/>
      <c r="H1562" s="3"/>
      <c r="I1562" s="3" t="s">
        <v>7043</v>
      </c>
      <c r="J1562" s="3"/>
      <c r="K1562" s="3"/>
      <c r="L1562" s="5"/>
    </row>
    <row r="1563" spans="1:12" ht="28.8" x14ac:dyDescent="0.55000000000000004">
      <c r="A1563" s="9" t="str">
        <f>HYPERLINK("PDF\FOIA-FWS-2020-00724-0001562.pdf","FOIA-FWS-2020-00724-0001562")</f>
        <v>FOIA-FWS-2020-00724-0001562</v>
      </c>
      <c r="B1563" s="3" t="s">
        <v>2834</v>
      </c>
      <c r="C1563" s="3" t="s">
        <v>3</v>
      </c>
      <c r="D1563" s="3" t="s">
        <v>33</v>
      </c>
      <c r="E1563" s="3" t="s">
        <v>2835</v>
      </c>
      <c r="F1563" s="4">
        <v>43556.693749999999</v>
      </c>
      <c r="G1563" s="3" t="s">
        <v>1730</v>
      </c>
      <c r="H1563" s="3" t="s">
        <v>955</v>
      </c>
      <c r="I1563" s="3" t="s">
        <v>7043</v>
      </c>
      <c r="J1563" s="3"/>
      <c r="K1563" s="3"/>
      <c r="L1563" s="5"/>
    </row>
    <row r="1564" spans="1:12" ht="28.8" x14ac:dyDescent="0.55000000000000004">
      <c r="A1564" s="9" t="str">
        <f>HYPERLINK("PDF\FOIA-FWS-2020-00724-0001563.pdf","FOIA-FWS-2020-00724-0001563")</f>
        <v>FOIA-FWS-2020-00724-0001563</v>
      </c>
      <c r="B1564" s="3" t="s">
        <v>2834</v>
      </c>
      <c r="C1564" s="3" t="s">
        <v>234</v>
      </c>
      <c r="D1564" s="3" t="s">
        <v>160</v>
      </c>
      <c r="E1564" s="3" t="s">
        <v>2836</v>
      </c>
      <c r="F1564" s="4">
        <v>43556.693749999999</v>
      </c>
      <c r="G1564" s="3"/>
      <c r="H1564" s="3"/>
      <c r="I1564" s="3" t="s">
        <v>7043</v>
      </c>
      <c r="J1564" s="3"/>
      <c r="K1564" s="3"/>
      <c r="L1564" s="5" t="str">
        <f>HYPERLINK("NATIVE_FILES\FOIA-FWS-2020-00724-0001563.dbf","FOIA-FWS-2020-00724-0001563.dbf")</f>
        <v>FOIA-FWS-2020-00724-0001563.dbf</v>
      </c>
    </row>
    <row r="1565" spans="1:12" ht="28.8" x14ac:dyDescent="0.55000000000000004">
      <c r="A1565" s="9" t="str">
        <f>HYPERLINK("PDF\FOIA-FWS-2020-00724-0001564.pdf","FOIA-FWS-2020-00724-0001564")</f>
        <v>FOIA-FWS-2020-00724-0001564</v>
      </c>
      <c r="B1565" s="3" t="s">
        <v>2834</v>
      </c>
      <c r="C1565" s="3" t="s">
        <v>234</v>
      </c>
      <c r="D1565" s="3" t="s">
        <v>160</v>
      </c>
      <c r="E1565" s="3" t="s">
        <v>2837</v>
      </c>
      <c r="F1565" s="4">
        <v>43556.693749999999</v>
      </c>
      <c r="G1565" s="3"/>
      <c r="H1565" s="3"/>
      <c r="I1565" s="3" t="s">
        <v>7043</v>
      </c>
      <c r="J1565" s="3"/>
      <c r="K1565" s="3"/>
      <c r="L1565" s="5" t="str">
        <f>HYPERLINK("NATIVE_FILES\FOIA-FWS-2020-00724-0001564.prj","FOIA-FWS-2020-00724-0001564.prj")</f>
        <v>FOIA-FWS-2020-00724-0001564.prj</v>
      </c>
    </row>
    <row r="1566" spans="1:12" ht="28.8" x14ac:dyDescent="0.55000000000000004">
      <c r="A1566" s="9" t="str">
        <f>HYPERLINK("PDF\FOIA-FWS-2020-00724-0001565.pdf","FOIA-FWS-2020-00724-0001565")</f>
        <v>FOIA-FWS-2020-00724-0001565</v>
      </c>
      <c r="B1566" s="3" t="s">
        <v>2834</v>
      </c>
      <c r="C1566" s="3" t="s">
        <v>234</v>
      </c>
      <c r="D1566" s="3" t="s">
        <v>160</v>
      </c>
      <c r="E1566" s="3" t="s">
        <v>2838</v>
      </c>
      <c r="F1566" s="4">
        <v>43556.693749999999</v>
      </c>
      <c r="G1566" s="3"/>
      <c r="H1566" s="3"/>
      <c r="I1566" s="3" t="s">
        <v>7043</v>
      </c>
      <c r="J1566" s="3"/>
      <c r="K1566" s="3"/>
      <c r="L1566" s="5" t="str">
        <f>HYPERLINK("NATIVE_FILES\FOIA-FWS-2020-00724-0001565.sbn","FOIA-FWS-2020-00724-0001565.sbn")</f>
        <v>FOIA-FWS-2020-00724-0001565.sbn</v>
      </c>
    </row>
    <row r="1567" spans="1:12" ht="28.8" x14ac:dyDescent="0.55000000000000004">
      <c r="A1567" s="9" t="str">
        <f>HYPERLINK("PDF\FOIA-FWS-2020-00724-0001566.pdf","FOIA-FWS-2020-00724-0001566")</f>
        <v>FOIA-FWS-2020-00724-0001566</v>
      </c>
      <c r="B1567" s="3" t="s">
        <v>2834</v>
      </c>
      <c r="C1567" s="3" t="s">
        <v>234</v>
      </c>
      <c r="D1567" s="3" t="s">
        <v>160</v>
      </c>
      <c r="E1567" s="3" t="s">
        <v>2839</v>
      </c>
      <c r="F1567" s="4">
        <v>43556.693749999999</v>
      </c>
      <c r="G1567" s="3"/>
      <c r="H1567" s="3"/>
      <c r="I1567" s="3" t="s">
        <v>7043</v>
      </c>
      <c r="J1567" s="3"/>
      <c r="K1567" s="3"/>
      <c r="L1567" s="5" t="str">
        <f>HYPERLINK("NATIVE_FILES\FOIA-FWS-2020-00724-0001566.sbx","FOIA-FWS-2020-00724-0001566.sbx")</f>
        <v>FOIA-FWS-2020-00724-0001566.sbx</v>
      </c>
    </row>
    <row r="1568" spans="1:12" ht="28.8" x14ac:dyDescent="0.55000000000000004">
      <c r="A1568" s="9" t="str">
        <f>HYPERLINK("PDF\FOIA-FWS-2020-00724-0001567.pdf","FOIA-FWS-2020-00724-0001567")</f>
        <v>FOIA-FWS-2020-00724-0001567</v>
      </c>
      <c r="B1568" s="3" t="s">
        <v>2834</v>
      </c>
      <c r="C1568" s="3" t="s">
        <v>234</v>
      </c>
      <c r="D1568" s="3" t="s">
        <v>160</v>
      </c>
      <c r="E1568" s="3" t="s">
        <v>2840</v>
      </c>
      <c r="F1568" s="4">
        <v>43556.693749999999</v>
      </c>
      <c r="G1568" s="3"/>
      <c r="H1568" s="3"/>
      <c r="I1568" s="3" t="s">
        <v>7043</v>
      </c>
      <c r="J1568" s="3"/>
      <c r="K1568" s="3"/>
      <c r="L1568" s="5" t="str">
        <f>HYPERLINK("NATIVE_FILES\FOIA-FWS-2020-00724-0001567.shp","FOIA-FWS-2020-00724-0001567.shp")</f>
        <v>FOIA-FWS-2020-00724-0001567.shp</v>
      </c>
    </row>
    <row r="1569" spans="1:12" ht="28.8" x14ac:dyDescent="0.55000000000000004">
      <c r="A1569" s="9" t="str">
        <f>HYPERLINK("PDF\FOIA-FWS-2020-00724-0001568.pdf","FOIA-FWS-2020-00724-0001568")</f>
        <v>FOIA-FWS-2020-00724-0001568</v>
      </c>
      <c r="B1569" s="3" t="s">
        <v>2834</v>
      </c>
      <c r="C1569" s="3" t="s">
        <v>234</v>
      </c>
      <c r="D1569" s="3" t="s">
        <v>160</v>
      </c>
      <c r="E1569" s="3" t="s">
        <v>2841</v>
      </c>
      <c r="F1569" s="4">
        <v>43556.693749999999</v>
      </c>
      <c r="G1569" s="3"/>
      <c r="H1569" s="3"/>
      <c r="I1569" s="3" t="s">
        <v>7043</v>
      </c>
      <c r="J1569" s="3"/>
      <c r="K1569" s="3"/>
      <c r="L1569" s="5" t="str">
        <f>HYPERLINK("NATIVE_FILES\FOIA-FWS-2020-00724-0001568.xml","FOIA-FWS-2020-00724-0001568.xml")</f>
        <v>FOIA-FWS-2020-00724-0001568.xml</v>
      </c>
    </row>
    <row r="1570" spans="1:12" ht="28.8" x14ac:dyDescent="0.55000000000000004">
      <c r="A1570" s="9" t="str">
        <f>HYPERLINK("PDF\FOIA-FWS-2020-00724-0001569.pdf","FOIA-FWS-2020-00724-0001569")</f>
        <v>FOIA-FWS-2020-00724-0001569</v>
      </c>
      <c r="B1570" s="3" t="s">
        <v>2834</v>
      </c>
      <c r="C1570" s="3" t="s">
        <v>234</v>
      </c>
      <c r="D1570" s="3" t="s">
        <v>160</v>
      </c>
      <c r="E1570" s="3" t="s">
        <v>2842</v>
      </c>
      <c r="F1570" s="4">
        <v>43556.693749999999</v>
      </c>
      <c r="G1570" s="3"/>
      <c r="H1570" s="3"/>
      <c r="I1570" s="3" t="s">
        <v>7043</v>
      </c>
      <c r="J1570" s="3"/>
      <c r="K1570" s="3"/>
      <c r="L1570" s="5" t="str">
        <f>HYPERLINK("NATIVE_FILES\FOIA-FWS-2020-00724-0001569.shx","FOIA-FWS-2020-00724-0001569.shx")</f>
        <v>FOIA-FWS-2020-00724-0001569.shx</v>
      </c>
    </row>
    <row r="1571" spans="1:12" ht="57.6" x14ac:dyDescent="0.55000000000000004">
      <c r="A1571" s="9" t="str">
        <f>HYPERLINK("PDF\FOIA-FWS-2020-00724-0001570.pdf","FOIA-FWS-2020-00724-0001570")</f>
        <v>FOIA-FWS-2020-00724-0001570</v>
      </c>
      <c r="B1571" s="3" t="s">
        <v>2843</v>
      </c>
      <c r="C1571" s="3" t="s">
        <v>3</v>
      </c>
      <c r="D1571" s="3" t="s">
        <v>33</v>
      </c>
      <c r="E1571" s="3" t="s">
        <v>2845</v>
      </c>
      <c r="F1571" s="4">
        <v>43556.818749999999</v>
      </c>
      <c r="G1571" s="3" t="s">
        <v>1060</v>
      </c>
      <c r="H1571" s="3" t="s">
        <v>2844</v>
      </c>
      <c r="I1571" s="3" t="s">
        <v>7043</v>
      </c>
      <c r="J1571" s="3"/>
      <c r="K1571" s="3"/>
      <c r="L1571" s="5"/>
    </row>
    <row r="1572" spans="1:12" ht="28.8" x14ac:dyDescent="0.55000000000000004">
      <c r="A1572" s="9" t="str">
        <f>HYPERLINK("PDF\FOIA-FWS-2020-00724-0001571.pdf","FOIA-FWS-2020-00724-0001571")</f>
        <v>FOIA-FWS-2020-00724-0001571</v>
      </c>
      <c r="B1572" s="3" t="s">
        <v>2846</v>
      </c>
      <c r="C1572" s="3" t="s">
        <v>3</v>
      </c>
      <c r="D1572" s="3" t="s">
        <v>33</v>
      </c>
      <c r="E1572" s="3" t="s">
        <v>2847</v>
      </c>
      <c r="F1572" s="4">
        <v>43556.833333333336</v>
      </c>
      <c r="G1572" s="3" t="s">
        <v>872</v>
      </c>
      <c r="H1572" s="3" t="s">
        <v>1332</v>
      </c>
      <c r="I1572" s="3" t="s">
        <v>7043</v>
      </c>
      <c r="J1572" s="3"/>
      <c r="K1572" s="3"/>
      <c r="L1572" s="5"/>
    </row>
    <row r="1573" spans="1:12" ht="28.8" x14ac:dyDescent="0.55000000000000004">
      <c r="A1573" s="9" t="str">
        <f>HYPERLINK("PDF\FOIA-FWS-2020-00724-0001572.pdf","FOIA-FWS-2020-00724-0001572")</f>
        <v>FOIA-FWS-2020-00724-0001572</v>
      </c>
      <c r="B1573" s="3" t="s">
        <v>2848</v>
      </c>
      <c r="C1573" s="3" t="s">
        <v>3</v>
      </c>
      <c r="D1573" s="3" t="s">
        <v>33</v>
      </c>
      <c r="E1573" s="3" t="s">
        <v>2323</v>
      </c>
      <c r="F1573" s="4">
        <v>43557</v>
      </c>
      <c r="G1573" s="3"/>
      <c r="H1573" s="3"/>
      <c r="I1573" s="3" t="s">
        <v>7043</v>
      </c>
      <c r="J1573" s="3"/>
      <c r="K1573" s="3"/>
      <c r="L1573" s="5"/>
    </row>
    <row r="1574" spans="1:12" ht="86.4" x14ac:dyDescent="0.55000000000000004">
      <c r="A1574" s="9" t="str">
        <f>HYPERLINK("PDF\FOIA-FWS-2020-00724-0001573.pdf","FOIA-FWS-2020-00724-0001573")</f>
        <v>FOIA-FWS-2020-00724-0001573</v>
      </c>
      <c r="B1574" s="3" t="s">
        <v>2849</v>
      </c>
      <c r="C1574" s="3" t="s">
        <v>3</v>
      </c>
      <c r="D1574" s="3" t="s">
        <v>33</v>
      </c>
      <c r="E1574" s="3" t="s">
        <v>2851</v>
      </c>
      <c r="F1574" s="4">
        <v>43557.6875</v>
      </c>
      <c r="G1574" s="3" t="s">
        <v>2081</v>
      </c>
      <c r="H1574" s="3" t="s">
        <v>2850</v>
      </c>
      <c r="I1574" s="3" t="s">
        <v>864</v>
      </c>
      <c r="J1574" s="3" t="s">
        <v>7046</v>
      </c>
      <c r="K1574" s="3" t="s">
        <v>7036</v>
      </c>
      <c r="L1574" s="5"/>
    </row>
    <row r="1575" spans="1:12" ht="129.6" x14ac:dyDescent="0.55000000000000004">
      <c r="A1575" s="9" t="str">
        <f>HYPERLINK("PDF\FOIA-FWS-2020-00724-0001574.pdf","FOIA-FWS-2020-00724-0001574")</f>
        <v>FOIA-FWS-2020-00724-0001574</v>
      </c>
      <c r="B1575" s="3" t="s">
        <v>2849</v>
      </c>
      <c r="C1575" s="3" t="s">
        <v>234</v>
      </c>
      <c r="D1575" s="3" t="s">
        <v>33</v>
      </c>
      <c r="E1575" s="3" t="s">
        <v>2853</v>
      </c>
      <c r="F1575" s="4">
        <v>43557.6875</v>
      </c>
      <c r="G1575" s="3" t="s">
        <v>1679</v>
      </c>
      <c r="H1575" s="3" t="s">
        <v>2852</v>
      </c>
      <c r="I1575" s="3" t="s">
        <v>7043</v>
      </c>
      <c r="J1575" s="3"/>
      <c r="K1575" s="3"/>
      <c r="L1575" s="5"/>
    </row>
    <row r="1576" spans="1:12" ht="28.8" x14ac:dyDescent="0.55000000000000004">
      <c r="A1576" s="9" t="str">
        <f>HYPERLINK("PDF\FOIA-FWS-2020-00724-0001575.pdf","FOIA-FWS-2020-00724-0001575")</f>
        <v>FOIA-FWS-2020-00724-0001575</v>
      </c>
      <c r="B1576" s="3" t="s">
        <v>2854</v>
      </c>
      <c r="C1576" s="3" t="s">
        <v>3</v>
      </c>
      <c r="D1576" s="3" t="s">
        <v>33</v>
      </c>
      <c r="E1576" s="3" t="s">
        <v>2855</v>
      </c>
      <c r="F1576" s="4">
        <v>43558</v>
      </c>
      <c r="G1576" s="3"/>
      <c r="H1576" s="3"/>
      <c r="I1576" s="3" t="s">
        <v>7043</v>
      </c>
      <c r="J1576" s="3"/>
      <c r="K1576" s="3"/>
      <c r="L1576" s="5"/>
    </row>
    <row r="1577" spans="1:12" ht="28.8" x14ac:dyDescent="0.55000000000000004">
      <c r="A1577" s="9" t="str">
        <f>HYPERLINK("PDF\FOIA-FWS-2020-00724-0001576.pdf","FOIA-FWS-2020-00724-0001576")</f>
        <v>FOIA-FWS-2020-00724-0001576</v>
      </c>
      <c r="B1577" s="3" t="s">
        <v>2856</v>
      </c>
      <c r="C1577" s="3" t="s">
        <v>3</v>
      </c>
      <c r="D1577" s="3" t="s">
        <v>38</v>
      </c>
      <c r="E1577" s="3" t="s">
        <v>2857</v>
      </c>
      <c r="F1577" s="4">
        <v>43558.541666666664</v>
      </c>
      <c r="G1577" s="3" t="s">
        <v>872</v>
      </c>
      <c r="H1577" s="3" t="s">
        <v>955</v>
      </c>
      <c r="I1577" s="3" t="s">
        <v>7043</v>
      </c>
      <c r="J1577" s="3"/>
      <c r="K1577" s="3"/>
      <c r="L1577" s="5"/>
    </row>
    <row r="1578" spans="1:12" ht="28.8" x14ac:dyDescent="0.55000000000000004">
      <c r="A1578" s="9" t="str">
        <f>HYPERLINK("PDF\FOIA-FWS-2020-00724-0001577.pdf","FOIA-FWS-2020-00724-0001577")</f>
        <v>FOIA-FWS-2020-00724-0001577</v>
      </c>
      <c r="B1578" s="3" t="s">
        <v>2858</v>
      </c>
      <c r="C1578" s="3" t="s">
        <v>3</v>
      </c>
      <c r="D1578" s="3" t="s">
        <v>33</v>
      </c>
      <c r="E1578" s="3" t="s">
        <v>2859</v>
      </c>
      <c r="F1578" s="4">
        <v>43558.602777777778</v>
      </c>
      <c r="G1578" s="3" t="s">
        <v>963</v>
      </c>
      <c r="H1578" s="3" t="s">
        <v>945</v>
      </c>
      <c r="I1578" s="3" t="s">
        <v>7043</v>
      </c>
      <c r="J1578" s="3"/>
      <c r="K1578" s="3"/>
      <c r="L1578" s="5"/>
    </row>
    <row r="1579" spans="1:12" ht="28.8" x14ac:dyDescent="0.55000000000000004">
      <c r="A1579" s="9" t="str">
        <f>HYPERLINK("PDF\FOIA-FWS-2020-00724-0001578.pdf","FOIA-FWS-2020-00724-0001578")</f>
        <v>FOIA-FWS-2020-00724-0001578</v>
      </c>
      <c r="B1579" s="3" t="s">
        <v>2860</v>
      </c>
      <c r="C1579" s="3" t="s">
        <v>3</v>
      </c>
      <c r="D1579" s="3" t="s">
        <v>33</v>
      </c>
      <c r="E1579" s="3" t="s">
        <v>2861</v>
      </c>
      <c r="F1579" s="4">
        <v>43558.643055555556</v>
      </c>
      <c r="G1579" s="3" t="s">
        <v>963</v>
      </c>
      <c r="H1579" s="3" t="s">
        <v>945</v>
      </c>
      <c r="I1579" s="3" t="s">
        <v>7043</v>
      </c>
      <c r="J1579" s="3"/>
      <c r="K1579" s="3"/>
      <c r="L1579" s="5"/>
    </row>
    <row r="1580" spans="1:12" ht="28.8" x14ac:dyDescent="0.55000000000000004">
      <c r="A1580" s="9" t="str">
        <f>HYPERLINK("PDF\FOIA-FWS-2020-00724-0001579.pdf","FOIA-FWS-2020-00724-0001579")</f>
        <v>FOIA-FWS-2020-00724-0001579</v>
      </c>
      <c r="B1580" s="3" t="s">
        <v>2862</v>
      </c>
      <c r="C1580" s="3" t="s">
        <v>3</v>
      </c>
      <c r="D1580" s="3" t="s">
        <v>33</v>
      </c>
      <c r="E1580" s="3" t="s">
        <v>2863</v>
      </c>
      <c r="F1580" s="4">
        <v>43558.697222222225</v>
      </c>
      <c r="G1580" s="3" t="s">
        <v>955</v>
      </c>
      <c r="H1580" s="3" t="s">
        <v>872</v>
      </c>
      <c r="I1580" s="3" t="s">
        <v>7043</v>
      </c>
      <c r="J1580" s="3"/>
      <c r="K1580" s="3"/>
      <c r="L1580" s="5"/>
    </row>
    <row r="1581" spans="1:12" ht="28.8" x14ac:dyDescent="0.55000000000000004">
      <c r="A1581" s="9" t="str">
        <f>HYPERLINK("PDF\FOIA-FWS-2020-00724-0001580.pdf","FOIA-FWS-2020-00724-0001580")</f>
        <v>FOIA-FWS-2020-00724-0001580</v>
      </c>
      <c r="B1581" s="3" t="s">
        <v>2864</v>
      </c>
      <c r="C1581" s="3" t="s">
        <v>3</v>
      </c>
      <c r="D1581" s="3" t="s">
        <v>33</v>
      </c>
      <c r="E1581" s="3" t="s">
        <v>2865</v>
      </c>
      <c r="F1581" s="4">
        <v>43558.70416666667</v>
      </c>
      <c r="G1581" s="3" t="s">
        <v>872</v>
      </c>
      <c r="H1581" s="3" t="s">
        <v>963</v>
      </c>
      <c r="I1581" s="3" t="s">
        <v>7043</v>
      </c>
      <c r="J1581" s="3"/>
      <c r="K1581" s="3"/>
      <c r="L1581" s="5"/>
    </row>
    <row r="1582" spans="1:12" ht="28.8" x14ac:dyDescent="0.55000000000000004">
      <c r="A1582" s="9" t="str">
        <f>HYPERLINK("PDF\FOIA-FWS-2020-00724-0001581.pdf","FOIA-FWS-2020-00724-0001581")</f>
        <v>FOIA-FWS-2020-00724-0001581</v>
      </c>
      <c r="B1582" s="3" t="s">
        <v>2864</v>
      </c>
      <c r="C1582" s="3" t="s">
        <v>234</v>
      </c>
      <c r="D1582" s="3" t="s">
        <v>33</v>
      </c>
      <c r="E1582" s="3" t="s">
        <v>2866</v>
      </c>
      <c r="F1582" s="4">
        <v>43558.70416666667</v>
      </c>
      <c r="G1582" s="3"/>
      <c r="H1582" s="3"/>
      <c r="I1582" s="3" t="s">
        <v>7043</v>
      </c>
      <c r="J1582" s="3"/>
      <c r="K1582" s="3"/>
      <c r="L1582" s="5"/>
    </row>
    <row r="1583" spans="1:12" ht="28.8" x14ac:dyDescent="0.55000000000000004">
      <c r="A1583" s="9" t="str">
        <f>HYPERLINK("PDF\FOIA-FWS-2020-00724-0001582.pdf","FOIA-FWS-2020-00724-0001582")</f>
        <v>FOIA-FWS-2020-00724-0001582</v>
      </c>
      <c r="B1583" s="3" t="s">
        <v>2864</v>
      </c>
      <c r="C1583" s="3" t="s">
        <v>234</v>
      </c>
      <c r="D1583" s="3" t="s">
        <v>33</v>
      </c>
      <c r="E1583" s="3" t="s">
        <v>2867</v>
      </c>
      <c r="F1583" s="4">
        <v>43558.70416666667</v>
      </c>
      <c r="G1583" s="3"/>
      <c r="H1583" s="3"/>
      <c r="I1583" s="3" t="s">
        <v>7043</v>
      </c>
      <c r="J1583" s="3"/>
      <c r="K1583" s="3"/>
      <c r="L1583" s="5"/>
    </row>
    <row r="1584" spans="1:12" ht="28.8" x14ac:dyDescent="0.55000000000000004">
      <c r="A1584" s="9" t="str">
        <f>HYPERLINK("PDF\FOIA-FWS-2020-00724-0001583.pdf","FOIA-FWS-2020-00724-0001583")</f>
        <v>FOIA-FWS-2020-00724-0001583</v>
      </c>
      <c r="B1584" s="3" t="s">
        <v>2864</v>
      </c>
      <c r="C1584" s="3" t="s">
        <v>234</v>
      </c>
      <c r="D1584" s="3" t="s">
        <v>33</v>
      </c>
      <c r="E1584" s="3" t="s">
        <v>2868</v>
      </c>
      <c r="F1584" s="4">
        <v>43558.70416666667</v>
      </c>
      <c r="G1584" s="3"/>
      <c r="H1584" s="3"/>
      <c r="I1584" s="3" t="s">
        <v>7043</v>
      </c>
      <c r="J1584" s="3"/>
      <c r="K1584" s="3"/>
      <c r="L1584" s="5"/>
    </row>
    <row r="1585" spans="1:12" ht="28.8" x14ac:dyDescent="0.55000000000000004">
      <c r="A1585" s="9" t="str">
        <f>HYPERLINK("PDF\FOIA-FWS-2020-00724-0001584.pdf","FOIA-FWS-2020-00724-0001584")</f>
        <v>FOIA-FWS-2020-00724-0001584</v>
      </c>
      <c r="B1585" s="3" t="s">
        <v>2869</v>
      </c>
      <c r="C1585" s="3" t="s">
        <v>3</v>
      </c>
      <c r="D1585" s="3" t="s">
        <v>33</v>
      </c>
      <c r="E1585" s="3" t="s">
        <v>2870</v>
      </c>
      <c r="F1585" s="4">
        <v>43559</v>
      </c>
      <c r="G1585" s="3"/>
      <c r="H1585" s="3"/>
      <c r="I1585" s="3" t="s">
        <v>7043</v>
      </c>
      <c r="J1585" s="3"/>
      <c r="K1585" s="3"/>
      <c r="L1585" s="5"/>
    </row>
    <row r="1586" spans="1:12" ht="43.2" x14ac:dyDescent="0.55000000000000004">
      <c r="A1586" s="9" t="str">
        <f>HYPERLINK("PDF\FOIA-FWS-2020-00724-0001585.pdf","FOIA-FWS-2020-00724-0001585")</f>
        <v>FOIA-FWS-2020-00724-0001585</v>
      </c>
      <c r="B1586" s="3" t="s">
        <v>2871</v>
      </c>
      <c r="C1586" s="3" t="s">
        <v>3</v>
      </c>
      <c r="D1586" s="3" t="s">
        <v>33</v>
      </c>
      <c r="E1586" s="3" t="s">
        <v>2872</v>
      </c>
      <c r="F1586" s="4">
        <v>43559</v>
      </c>
      <c r="G1586" s="3"/>
      <c r="H1586" s="3"/>
      <c r="I1586" s="3" t="s">
        <v>7044</v>
      </c>
      <c r="J1586" s="3" t="s">
        <v>7046</v>
      </c>
      <c r="K1586" s="3" t="s">
        <v>7036</v>
      </c>
      <c r="L1586" s="5"/>
    </row>
    <row r="1587" spans="1:12" ht="28.8" x14ac:dyDescent="0.55000000000000004">
      <c r="A1587" s="9" t="str">
        <f>HYPERLINK("PDF\FOIA-FWS-2020-00724-0001586.pdf","FOIA-FWS-2020-00724-0001586")</f>
        <v>FOIA-FWS-2020-00724-0001586</v>
      </c>
      <c r="B1587" s="3" t="s">
        <v>2873</v>
      </c>
      <c r="C1587" s="3" t="s">
        <v>3</v>
      </c>
      <c r="D1587" s="3" t="s">
        <v>33</v>
      </c>
      <c r="E1587" s="3" t="s">
        <v>2875</v>
      </c>
      <c r="F1587" s="4">
        <v>43559.835416666669</v>
      </c>
      <c r="G1587" s="3" t="s">
        <v>963</v>
      </c>
      <c r="H1587" s="3" t="s">
        <v>2874</v>
      </c>
      <c r="I1587" s="3" t="s">
        <v>7043</v>
      </c>
      <c r="J1587" s="3"/>
      <c r="K1587" s="3"/>
      <c r="L1587" s="5"/>
    </row>
    <row r="1588" spans="1:12" ht="28.8" x14ac:dyDescent="0.55000000000000004">
      <c r="A1588" s="9" t="str">
        <f>HYPERLINK("PDF\FOIA-FWS-2020-00724-0001587.pdf","FOIA-FWS-2020-00724-0001587")</f>
        <v>FOIA-FWS-2020-00724-0001587</v>
      </c>
      <c r="B1588" s="3" t="s">
        <v>2876</v>
      </c>
      <c r="C1588" s="3" t="s">
        <v>3</v>
      </c>
      <c r="D1588" s="3" t="s">
        <v>33</v>
      </c>
      <c r="E1588" s="3" t="s">
        <v>2877</v>
      </c>
      <c r="F1588" s="4">
        <v>43560</v>
      </c>
      <c r="G1588" s="3"/>
      <c r="H1588" s="3"/>
      <c r="I1588" s="3" t="s">
        <v>7043</v>
      </c>
      <c r="J1588" s="3"/>
      <c r="K1588" s="3"/>
      <c r="L1588" s="5"/>
    </row>
    <row r="1589" spans="1:12" ht="28.8" x14ac:dyDescent="0.55000000000000004">
      <c r="A1589" s="9" t="str">
        <f>HYPERLINK("PDF\FOIA-FWS-2020-00724-0001588.pdf","FOIA-FWS-2020-00724-0001588")</f>
        <v>FOIA-FWS-2020-00724-0001588</v>
      </c>
      <c r="B1589" s="3" t="s">
        <v>2878</v>
      </c>
      <c r="C1589" s="3" t="s">
        <v>3</v>
      </c>
      <c r="D1589" s="3" t="s">
        <v>33</v>
      </c>
      <c r="E1589" s="3" t="s">
        <v>2879</v>
      </c>
      <c r="F1589" s="4">
        <v>43560.54583333333</v>
      </c>
      <c r="G1589" s="3" t="s">
        <v>919</v>
      </c>
      <c r="H1589" s="3" t="s">
        <v>2467</v>
      </c>
      <c r="I1589" s="3" t="s">
        <v>7043</v>
      </c>
      <c r="J1589" s="3"/>
      <c r="K1589" s="3"/>
      <c r="L1589" s="5"/>
    </row>
    <row r="1590" spans="1:12" ht="28.8" x14ac:dyDescent="0.55000000000000004">
      <c r="A1590" s="9" t="str">
        <f>HYPERLINK("PDF\FOIA-FWS-2020-00724-0001589.pdf","FOIA-FWS-2020-00724-0001589")</f>
        <v>FOIA-FWS-2020-00724-0001589</v>
      </c>
      <c r="B1590" s="3" t="s">
        <v>2880</v>
      </c>
      <c r="C1590" s="3" t="s">
        <v>3</v>
      </c>
      <c r="D1590" s="3" t="s">
        <v>33</v>
      </c>
      <c r="E1590" s="3" t="s">
        <v>2881</v>
      </c>
      <c r="F1590" s="4">
        <v>43560.567361111112</v>
      </c>
      <c r="G1590" s="3" t="s">
        <v>1494</v>
      </c>
      <c r="H1590" s="3" t="s">
        <v>955</v>
      </c>
      <c r="I1590" s="3" t="s">
        <v>7043</v>
      </c>
      <c r="J1590" s="3"/>
      <c r="K1590" s="3"/>
      <c r="L1590" s="5"/>
    </row>
    <row r="1591" spans="1:12" ht="28.8" x14ac:dyDescent="0.55000000000000004">
      <c r="A1591" s="9" t="str">
        <f>HYPERLINK("PDF\FOIA-FWS-2020-00724-0001590.pdf","FOIA-FWS-2020-00724-0001590")</f>
        <v>FOIA-FWS-2020-00724-0001590</v>
      </c>
      <c r="B1591" s="3" t="s">
        <v>2882</v>
      </c>
      <c r="C1591" s="3" t="s">
        <v>3</v>
      </c>
      <c r="D1591" s="3" t="s">
        <v>33</v>
      </c>
      <c r="E1591" s="3" t="s">
        <v>2883</v>
      </c>
      <c r="F1591" s="4">
        <v>43560.654861111114</v>
      </c>
      <c r="G1591" s="3" t="s">
        <v>945</v>
      </c>
      <c r="H1591" s="3" t="s">
        <v>955</v>
      </c>
      <c r="I1591" s="3" t="s">
        <v>7043</v>
      </c>
      <c r="J1591" s="3"/>
      <c r="K1591" s="3"/>
      <c r="L1591" s="5"/>
    </row>
    <row r="1592" spans="1:12" ht="28.8" x14ac:dyDescent="0.55000000000000004">
      <c r="A1592" s="9" t="str">
        <f>HYPERLINK("PDF\FOIA-FWS-2020-00724-0001591.pdf","FOIA-FWS-2020-00724-0001591")</f>
        <v>FOIA-FWS-2020-00724-0001591</v>
      </c>
      <c r="B1592" s="3" t="s">
        <v>2884</v>
      </c>
      <c r="C1592" s="3" t="s">
        <v>3</v>
      </c>
      <c r="D1592" s="3" t="s">
        <v>33</v>
      </c>
      <c r="E1592" s="3" t="s">
        <v>2883</v>
      </c>
      <c r="F1592" s="4">
        <v>43560.667361111111</v>
      </c>
      <c r="G1592" s="3" t="s">
        <v>963</v>
      </c>
      <c r="H1592" s="3" t="s">
        <v>955</v>
      </c>
      <c r="I1592" s="3" t="s">
        <v>7043</v>
      </c>
      <c r="J1592" s="3"/>
      <c r="K1592" s="3"/>
      <c r="L1592" s="5"/>
    </row>
    <row r="1593" spans="1:12" ht="28.8" x14ac:dyDescent="0.55000000000000004">
      <c r="A1593" s="9" t="str">
        <f>HYPERLINK("PDF\FOIA-FWS-2020-00724-0001592.pdf","FOIA-FWS-2020-00724-0001592")</f>
        <v>FOIA-FWS-2020-00724-0001592</v>
      </c>
      <c r="B1593" s="3" t="s">
        <v>2885</v>
      </c>
      <c r="C1593" s="3" t="s">
        <v>3</v>
      </c>
      <c r="D1593" s="3" t="s">
        <v>33</v>
      </c>
      <c r="E1593" s="3" t="s">
        <v>2886</v>
      </c>
      <c r="F1593" s="4">
        <v>43560.74722222222</v>
      </c>
      <c r="G1593" s="3" t="s">
        <v>963</v>
      </c>
      <c r="H1593" s="3" t="s">
        <v>955</v>
      </c>
      <c r="I1593" s="3" t="s">
        <v>7043</v>
      </c>
      <c r="J1593" s="3"/>
      <c r="K1593" s="3"/>
      <c r="L1593" s="5"/>
    </row>
    <row r="1594" spans="1:12" ht="28.8" x14ac:dyDescent="0.55000000000000004">
      <c r="A1594" s="9" t="str">
        <f>HYPERLINK("PDF\FOIA-FWS-2020-00724-0001593.pdf","FOIA-FWS-2020-00724-0001593")</f>
        <v>FOIA-FWS-2020-00724-0001593</v>
      </c>
      <c r="B1594" s="3" t="s">
        <v>2887</v>
      </c>
      <c r="C1594" s="3" t="s">
        <v>3</v>
      </c>
      <c r="D1594" s="3" t="s">
        <v>33</v>
      </c>
      <c r="E1594" s="3" t="s">
        <v>2889</v>
      </c>
      <c r="F1594" s="4">
        <v>43560.838194444441</v>
      </c>
      <c r="G1594" s="3" t="s">
        <v>2054</v>
      </c>
      <c r="H1594" s="3" t="s">
        <v>2888</v>
      </c>
      <c r="I1594" s="3" t="s">
        <v>7043</v>
      </c>
      <c r="J1594" s="3"/>
      <c r="K1594" s="3"/>
      <c r="L1594" s="5"/>
    </row>
    <row r="1595" spans="1:12" ht="43.2" x14ac:dyDescent="0.55000000000000004">
      <c r="A1595" s="9" t="str">
        <f>HYPERLINK("PDF\FOIA-FWS-2020-00724-0001594.pdf","FOIA-FWS-2020-00724-0001594")</f>
        <v>FOIA-FWS-2020-00724-0001594</v>
      </c>
      <c r="B1595" s="3" t="s">
        <v>2887</v>
      </c>
      <c r="C1595" s="3" t="s">
        <v>234</v>
      </c>
      <c r="D1595" s="3" t="s">
        <v>4</v>
      </c>
      <c r="E1595" s="3" t="s">
        <v>2891</v>
      </c>
      <c r="F1595" s="4">
        <v>43560.838194444441</v>
      </c>
      <c r="G1595" s="3" t="s">
        <v>2890</v>
      </c>
      <c r="H1595" s="3"/>
      <c r="I1595" s="3" t="s">
        <v>7043</v>
      </c>
      <c r="J1595" s="3"/>
      <c r="K1595" s="3"/>
      <c r="L1595" s="5"/>
    </row>
    <row r="1596" spans="1:12" ht="28.8" x14ac:dyDescent="0.55000000000000004">
      <c r="A1596" s="9" t="str">
        <f>HYPERLINK("PDF\FOIA-FWS-2020-00724-0001595.pdf","FOIA-FWS-2020-00724-0001595")</f>
        <v>FOIA-FWS-2020-00724-0001595</v>
      </c>
      <c r="B1596" s="3" t="s">
        <v>2892</v>
      </c>
      <c r="C1596" s="3" t="s">
        <v>3</v>
      </c>
      <c r="D1596" s="3" t="s">
        <v>33</v>
      </c>
      <c r="E1596" s="3" t="s">
        <v>2894</v>
      </c>
      <c r="F1596" s="4">
        <v>43560.84097222222</v>
      </c>
      <c r="G1596" s="3" t="s">
        <v>2054</v>
      </c>
      <c r="H1596" s="3" t="s">
        <v>2893</v>
      </c>
      <c r="I1596" s="3" t="s">
        <v>7043</v>
      </c>
      <c r="J1596" s="3"/>
      <c r="K1596" s="3"/>
      <c r="L1596" s="5"/>
    </row>
    <row r="1597" spans="1:12" ht="28.8" x14ac:dyDescent="0.55000000000000004">
      <c r="A1597" s="9" t="str">
        <f>HYPERLINK("PDF\FOIA-FWS-2020-00724-0001596.pdf","FOIA-FWS-2020-00724-0001596")</f>
        <v>FOIA-FWS-2020-00724-0001596</v>
      </c>
      <c r="B1597" s="3" t="s">
        <v>2892</v>
      </c>
      <c r="C1597" s="3" t="s">
        <v>234</v>
      </c>
      <c r="D1597" s="3" t="s">
        <v>4</v>
      </c>
      <c r="E1597" s="3" t="s">
        <v>2895</v>
      </c>
      <c r="F1597" s="4">
        <v>43560.84097222222</v>
      </c>
      <c r="G1597" s="3" t="s">
        <v>2890</v>
      </c>
      <c r="H1597" s="3"/>
      <c r="I1597" s="3" t="s">
        <v>7043</v>
      </c>
      <c r="J1597" s="3"/>
      <c r="K1597" s="3"/>
      <c r="L1597" s="5"/>
    </row>
    <row r="1598" spans="1:12" ht="28.8" x14ac:dyDescent="0.55000000000000004">
      <c r="A1598" s="9" t="str">
        <f>HYPERLINK("PDF\FOIA-FWS-2020-00724-0001597.pdf","FOIA-FWS-2020-00724-0001597")</f>
        <v>FOIA-FWS-2020-00724-0001597</v>
      </c>
      <c r="B1598" s="3" t="s">
        <v>2896</v>
      </c>
      <c r="C1598" s="3" t="s">
        <v>3</v>
      </c>
      <c r="D1598" s="3" t="s">
        <v>33</v>
      </c>
      <c r="E1598" s="3" t="s">
        <v>2897</v>
      </c>
      <c r="F1598" s="4">
        <v>43562</v>
      </c>
      <c r="G1598" s="3"/>
      <c r="H1598" s="3"/>
      <c r="I1598" s="3" t="s">
        <v>7043</v>
      </c>
      <c r="J1598" s="3"/>
      <c r="K1598" s="3"/>
      <c r="L1598" s="5"/>
    </row>
    <row r="1599" spans="1:12" ht="28.8" x14ac:dyDescent="0.55000000000000004">
      <c r="A1599" s="9" t="str">
        <f>HYPERLINK("PDF\FOIA-FWS-2020-00724-0001598.pdf","FOIA-FWS-2020-00724-0001598")</f>
        <v>FOIA-FWS-2020-00724-0001598</v>
      </c>
      <c r="B1599" s="3" t="s">
        <v>2898</v>
      </c>
      <c r="C1599" s="3" t="s">
        <v>3</v>
      </c>
      <c r="D1599" s="3" t="s">
        <v>33</v>
      </c>
      <c r="E1599" s="3" t="s">
        <v>2899</v>
      </c>
      <c r="F1599" s="4">
        <v>43563</v>
      </c>
      <c r="G1599" s="3"/>
      <c r="H1599" s="3"/>
      <c r="I1599" s="3" t="s">
        <v>7043</v>
      </c>
      <c r="J1599" s="3"/>
      <c r="K1599" s="3"/>
      <c r="L1599" s="5"/>
    </row>
    <row r="1600" spans="1:12" ht="43.2" x14ac:dyDescent="0.55000000000000004">
      <c r="A1600" s="9" t="str">
        <f>HYPERLINK("PDF\FOIA-FWS-2020-00724-0001599.PDF","FOIA-FWS-2020-00724-0001599")</f>
        <v>FOIA-FWS-2020-00724-0001599</v>
      </c>
      <c r="B1600" s="3" t="s">
        <v>2900</v>
      </c>
      <c r="C1600" s="3" t="s">
        <v>3</v>
      </c>
      <c r="D1600" s="3" t="s">
        <v>33</v>
      </c>
      <c r="E1600" s="3" t="s">
        <v>2902</v>
      </c>
      <c r="F1600" s="4">
        <v>43563.70416666667</v>
      </c>
      <c r="G1600" s="3" t="s">
        <v>963</v>
      </c>
      <c r="H1600" s="3" t="s">
        <v>2901</v>
      </c>
      <c r="I1600" s="3" t="s">
        <v>7043</v>
      </c>
      <c r="J1600" s="3"/>
      <c r="K1600" s="3"/>
      <c r="L1600" s="5"/>
    </row>
    <row r="1601" spans="1:12" ht="28.8" x14ac:dyDescent="0.55000000000000004">
      <c r="A1601" s="9" t="str">
        <f>HYPERLINK("PDF\FOIA-FWS-2020-00724-0001600.pdf","FOIA-FWS-2020-00724-0001600")</f>
        <v>FOIA-FWS-2020-00724-0001600</v>
      </c>
      <c r="B1601" s="3" t="s">
        <v>2900</v>
      </c>
      <c r="C1601" s="3" t="s">
        <v>234</v>
      </c>
      <c r="D1601" s="3" t="s">
        <v>4</v>
      </c>
      <c r="E1601" s="3" t="s">
        <v>2895</v>
      </c>
      <c r="F1601" s="4">
        <v>43563.70416666667</v>
      </c>
      <c r="G1601" s="3" t="s">
        <v>2890</v>
      </c>
      <c r="H1601" s="3"/>
      <c r="I1601" s="3" t="s">
        <v>7043</v>
      </c>
      <c r="J1601" s="3"/>
      <c r="K1601" s="3"/>
      <c r="L1601" s="5"/>
    </row>
    <row r="1602" spans="1:12" ht="43.2" x14ac:dyDescent="0.55000000000000004">
      <c r="A1602" s="9" t="str">
        <f>HYPERLINK("PDF\FOIA-FWS-2020-00724-0001601.pdf","FOIA-FWS-2020-00724-0001601")</f>
        <v>FOIA-FWS-2020-00724-0001601</v>
      </c>
      <c r="B1602" s="3" t="s">
        <v>2900</v>
      </c>
      <c r="C1602" s="3" t="s">
        <v>234</v>
      </c>
      <c r="D1602" s="3" t="s">
        <v>4</v>
      </c>
      <c r="E1602" s="3" t="s">
        <v>2903</v>
      </c>
      <c r="F1602" s="4">
        <v>43563.70416666667</v>
      </c>
      <c r="G1602" s="3" t="s">
        <v>2890</v>
      </c>
      <c r="H1602" s="3"/>
      <c r="I1602" s="3" t="s">
        <v>7043</v>
      </c>
      <c r="J1602" s="3"/>
      <c r="K1602" s="3"/>
      <c r="L1602" s="5"/>
    </row>
    <row r="1603" spans="1:12" ht="28.8" x14ac:dyDescent="0.55000000000000004">
      <c r="A1603" s="9" t="str">
        <f>HYPERLINK("PDF\FOIA-FWS-2020-00724-0001602.pdf","FOIA-FWS-2020-00724-0001602")</f>
        <v>FOIA-FWS-2020-00724-0001602</v>
      </c>
      <c r="B1603" s="3" t="s">
        <v>2904</v>
      </c>
      <c r="C1603" s="3" t="s">
        <v>3</v>
      </c>
      <c r="D1603" s="3" t="s">
        <v>33</v>
      </c>
      <c r="E1603" s="3" t="s">
        <v>2905</v>
      </c>
      <c r="F1603" s="4">
        <v>43563.773611111108</v>
      </c>
      <c r="G1603" s="3" t="s">
        <v>919</v>
      </c>
      <c r="H1603" s="3" t="s">
        <v>872</v>
      </c>
      <c r="I1603" s="3" t="s">
        <v>7043</v>
      </c>
      <c r="J1603" s="3"/>
      <c r="K1603" s="3"/>
      <c r="L1603" s="5"/>
    </row>
    <row r="1604" spans="1:12" ht="28.8" x14ac:dyDescent="0.55000000000000004">
      <c r="A1604" s="9" t="str">
        <f>HYPERLINK("PDF\FOIA-FWS-2020-00724-0001603.pdf","FOIA-FWS-2020-00724-0001603")</f>
        <v>FOIA-FWS-2020-00724-0001603</v>
      </c>
      <c r="B1604" s="3" t="s">
        <v>2906</v>
      </c>
      <c r="C1604" s="3" t="s">
        <v>3</v>
      </c>
      <c r="D1604" s="3" t="s">
        <v>4</v>
      </c>
      <c r="E1604" s="3" t="s">
        <v>2907</v>
      </c>
      <c r="F1604" s="4">
        <v>43564</v>
      </c>
      <c r="G1604" s="3"/>
      <c r="H1604" s="3"/>
      <c r="I1604" s="3" t="s">
        <v>7043</v>
      </c>
      <c r="J1604" s="3"/>
      <c r="K1604" s="3"/>
      <c r="L1604" s="5"/>
    </row>
    <row r="1605" spans="1:12" ht="28.8" x14ac:dyDescent="0.55000000000000004">
      <c r="A1605" s="9" t="str">
        <f>HYPERLINK("PDF\FOIA-FWS-2020-00724-0001604.pdf","FOIA-FWS-2020-00724-0001604")</f>
        <v>FOIA-FWS-2020-00724-0001604</v>
      </c>
      <c r="B1605" s="3" t="s">
        <v>2908</v>
      </c>
      <c r="C1605" s="3" t="s">
        <v>3</v>
      </c>
      <c r="D1605" s="3" t="s">
        <v>4</v>
      </c>
      <c r="E1605" s="3" t="s">
        <v>2909</v>
      </c>
      <c r="F1605" s="4">
        <v>43564</v>
      </c>
      <c r="G1605" s="3"/>
      <c r="H1605" s="3"/>
      <c r="I1605" s="3" t="s">
        <v>7043</v>
      </c>
      <c r="J1605" s="3"/>
      <c r="K1605" s="3"/>
      <c r="L1605" s="5"/>
    </row>
    <row r="1606" spans="1:12" ht="28.8" x14ac:dyDescent="0.55000000000000004">
      <c r="A1606" s="9" t="str">
        <f>HYPERLINK("PDF\FOIA-FWS-2020-00724-0001605.pdf","FOIA-FWS-2020-00724-0001605")</f>
        <v>FOIA-FWS-2020-00724-0001605</v>
      </c>
      <c r="B1606" s="3" t="s">
        <v>2910</v>
      </c>
      <c r="C1606" s="3" t="s">
        <v>3</v>
      </c>
      <c r="D1606" s="3" t="s">
        <v>33</v>
      </c>
      <c r="E1606" s="3" t="s">
        <v>211</v>
      </c>
      <c r="F1606" s="4">
        <v>43564</v>
      </c>
      <c r="G1606" s="3"/>
      <c r="H1606" s="3"/>
      <c r="I1606" s="3" t="s">
        <v>7043</v>
      </c>
      <c r="J1606" s="3"/>
      <c r="K1606" s="3"/>
      <c r="L1606" s="5"/>
    </row>
    <row r="1607" spans="1:12" ht="28.8" x14ac:dyDescent="0.55000000000000004">
      <c r="A1607" s="9" t="str">
        <f>HYPERLINK("PDF\FOIA-FWS-2020-00724-0001606.pdf","FOIA-FWS-2020-00724-0001606")</f>
        <v>FOIA-FWS-2020-00724-0001606</v>
      </c>
      <c r="B1607" s="3" t="s">
        <v>2911</v>
      </c>
      <c r="C1607" s="3" t="s">
        <v>3</v>
      </c>
      <c r="D1607" s="3" t="s">
        <v>33</v>
      </c>
      <c r="E1607" s="3" t="s">
        <v>2323</v>
      </c>
      <c r="F1607" s="4">
        <v>43564</v>
      </c>
      <c r="G1607" s="3"/>
      <c r="H1607" s="3"/>
      <c r="I1607" s="3" t="s">
        <v>7043</v>
      </c>
      <c r="J1607" s="3"/>
      <c r="K1607" s="3"/>
      <c r="L1607" s="5"/>
    </row>
    <row r="1608" spans="1:12" ht="28.8" x14ac:dyDescent="0.55000000000000004">
      <c r="A1608" s="9" t="str">
        <f>HYPERLINK("PDF\FOIA-FWS-2020-00724-0001607.pdf","FOIA-FWS-2020-00724-0001607")</f>
        <v>FOIA-FWS-2020-00724-0001607</v>
      </c>
      <c r="B1608" s="3" t="s">
        <v>2912</v>
      </c>
      <c r="C1608" s="3" t="s">
        <v>3</v>
      </c>
      <c r="D1608" s="3" t="s">
        <v>33</v>
      </c>
      <c r="E1608" s="3" t="s">
        <v>2323</v>
      </c>
      <c r="F1608" s="4">
        <v>43564</v>
      </c>
      <c r="G1608" s="3"/>
      <c r="H1608" s="3"/>
      <c r="I1608" s="3" t="s">
        <v>7043</v>
      </c>
      <c r="J1608" s="3"/>
      <c r="K1608" s="3"/>
      <c r="L1608" s="5"/>
    </row>
    <row r="1609" spans="1:12" ht="28.8" x14ac:dyDescent="0.55000000000000004">
      <c r="A1609" s="9" t="str">
        <f>HYPERLINK("PDF\FOIA-FWS-2020-00724-0001608.pdf","FOIA-FWS-2020-00724-0001608")</f>
        <v>FOIA-FWS-2020-00724-0001608</v>
      </c>
      <c r="B1609" s="3" t="s">
        <v>2913</v>
      </c>
      <c r="C1609" s="3" t="s">
        <v>3</v>
      </c>
      <c r="D1609" s="3" t="s">
        <v>33</v>
      </c>
      <c r="E1609" s="3" t="s">
        <v>2323</v>
      </c>
      <c r="F1609" s="4">
        <v>43564</v>
      </c>
      <c r="G1609" s="3"/>
      <c r="H1609" s="3"/>
      <c r="I1609" s="3" t="s">
        <v>7043</v>
      </c>
      <c r="J1609" s="3"/>
      <c r="K1609" s="3"/>
      <c r="L1609" s="5"/>
    </row>
    <row r="1610" spans="1:12" ht="28.8" x14ac:dyDescent="0.55000000000000004">
      <c r="A1610" s="9" t="str">
        <f>HYPERLINK("PDF\FOIA-FWS-2020-00724-0001609.pdf","FOIA-FWS-2020-00724-0001609")</f>
        <v>FOIA-FWS-2020-00724-0001609</v>
      </c>
      <c r="B1610" s="3" t="s">
        <v>2914</v>
      </c>
      <c r="C1610" s="3" t="s">
        <v>3</v>
      </c>
      <c r="D1610" s="3" t="s">
        <v>33</v>
      </c>
      <c r="E1610" s="3" t="s">
        <v>2323</v>
      </c>
      <c r="F1610" s="4">
        <v>43564</v>
      </c>
      <c r="G1610" s="3"/>
      <c r="H1610" s="3"/>
      <c r="I1610" s="3" t="s">
        <v>7043</v>
      </c>
      <c r="J1610" s="3"/>
      <c r="K1610" s="3"/>
      <c r="L1610" s="5"/>
    </row>
    <row r="1611" spans="1:12" ht="28.8" x14ac:dyDescent="0.55000000000000004">
      <c r="A1611" s="9" t="str">
        <f>HYPERLINK("PDF\FOIA-FWS-2020-00724-0001610.pdf","FOIA-FWS-2020-00724-0001610")</f>
        <v>FOIA-FWS-2020-00724-0001610</v>
      </c>
      <c r="B1611" s="3" t="s">
        <v>2915</v>
      </c>
      <c r="C1611" s="3" t="s">
        <v>3</v>
      </c>
      <c r="D1611" s="3" t="s">
        <v>33</v>
      </c>
      <c r="E1611" s="3" t="s">
        <v>2323</v>
      </c>
      <c r="F1611" s="4">
        <v>43564</v>
      </c>
      <c r="G1611" s="3"/>
      <c r="H1611" s="3"/>
      <c r="I1611" s="3" t="s">
        <v>7043</v>
      </c>
      <c r="J1611" s="3"/>
      <c r="K1611" s="3"/>
      <c r="L1611" s="5"/>
    </row>
    <row r="1612" spans="1:12" ht="28.8" x14ac:dyDescent="0.55000000000000004">
      <c r="A1612" s="9" t="str">
        <f>HYPERLINK("PDF\FOIA-FWS-2020-00724-0001611.pdf","FOIA-FWS-2020-00724-0001611")</f>
        <v>FOIA-FWS-2020-00724-0001611</v>
      </c>
      <c r="B1612" s="3" t="s">
        <v>2916</v>
      </c>
      <c r="C1612" s="3" t="s">
        <v>3</v>
      </c>
      <c r="D1612" s="3" t="s">
        <v>33</v>
      </c>
      <c r="E1612" s="3" t="s">
        <v>2917</v>
      </c>
      <c r="F1612" s="4">
        <v>43564.436805555553</v>
      </c>
      <c r="G1612" s="3" t="s">
        <v>919</v>
      </c>
      <c r="H1612" s="3" t="s">
        <v>872</v>
      </c>
      <c r="I1612" s="3" t="s">
        <v>7043</v>
      </c>
      <c r="J1612" s="3"/>
      <c r="K1612" s="3"/>
      <c r="L1612" s="5"/>
    </row>
    <row r="1613" spans="1:12" ht="43.2" x14ac:dyDescent="0.55000000000000004">
      <c r="A1613" s="9" t="str">
        <f>HYPERLINK("PDF\FOIA-FWS-2020-00724-0001612.pdf","FOIA-FWS-2020-00724-0001612")</f>
        <v>FOIA-FWS-2020-00724-0001612</v>
      </c>
      <c r="B1613" s="3" t="s">
        <v>2918</v>
      </c>
      <c r="C1613" s="3" t="s">
        <v>3</v>
      </c>
      <c r="D1613" s="3" t="s">
        <v>33</v>
      </c>
      <c r="E1613" s="3" t="s">
        <v>2905</v>
      </c>
      <c r="F1613" s="4">
        <v>43564.466666666667</v>
      </c>
      <c r="G1613" s="3" t="s">
        <v>919</v>
      </c>
      <c r="H1613" s="3" t="s">
        <v>2919</v>
      </c>
      <c r="I1613" s="3" t="s">
        <v>7043</v>
      </c>
      <c r="J1613" s="3"/>
      <c r="K1613" s="3"/>
      <c r="L1613" s="5"/>
    </row>
    <row r="1614" spans="1:12" ht="28.8" x14ac:dyDescent="0.55000000000000004">
      <c r="A1614" s="9" t="str">
        <f>HYPERLINK("PDF\FOIA-FWS-2020-00724-0001613.pdf","FOIA-FWS-2020-00724-0001613")</f>
        <v>FOIA-FWS-2020-00724-0001613</v>
      </c>
      <c r="B1614" s="3" t="s">
        <v>2920</v>
      </c>
      <c r="C1614" s="3" t="s">
        <v>3</v>
      </c>
      <c r="D1614" s="3" t="s">
        <v>33</v>
      </c>
      <c r="E1614" s="3" t="s">
        <v>2921</v>
      </c>
      <c r="F1614" s="4">
        <v>43564.486111111109</v>
      </c>
      <c r="G1614" s="3" t="s">
        <v>872</v>
      </c>
      <c r="H1614" s="3" t="s">
        <v>919</v>
      </c>
      <c r="I1614" s="3" t="s">
        <v>7043</v>
      </c>
      <c r="J1614" s="3"/>
      <c r="K1614" s="3"/>
      <c r="L1614" s="5"/>
    </row>
    <row r="1615" spans="1:12" ht="28.8" x14ac:dyDescent="0.55000000000000004">
      <c r="A1615" s="9" t="str">
        <f>HYPERLINK("PDF\FOIA-FWS-2020-00724-0001614.pdf","FOIA-FWS-2020-00724-0001614")</f>
        <v>FOIA-FWS-2020-00724-0001614</v>
      </c>
      <c r="B1615" s="3" t="s">
        <v>2920</v>
      </c>
      <c r="C1615" s="3" t="s">
        <v>234</v>
      </c>
      <c r="D1615" s="3" t="s">
        <v>33</v>
      </c>
      <c r="E1615" s="3" t="s">
        <v>2866</v>
      </c>
      <c r="F1615" s="4">
        <v>43564.486111111109</v>
      </c>
      <c r="G1615" s="3"/>
      <c r="H1615" s="3"/>
      <c r="I1615" s="3" t="s">
        <v>7043</v>
      </c>
      <c r="J1615" s="3"/>
      <c r="K1615" s="3"/>
      <c r="L1615" s="5"/>
    </row>
    <row r="1616" spans="1:12" ht="28.8" x14ac:dyDescent="0.55000000000000004">
      <c r="A1616" s="9" t="str">
        <f>HYPERLINK("PDF\FOIA-FWS-2020-00724-0001615.pdf","FOIA-FWS-2020-00724-0001615")</f>
        <v>FOIA-FWS-2020-00724-0001615</v>
      </c>
      <c r="B1616" s="3" t="s">
        <v>2922</v>
      </c>
      <c r="C1616" s="3" t="s">
        <v>3</v>
      </c>
      <c r="D1616" s="3" t="s">
        <v>33</v>
      </c>
      <c r="E1616" s="3" t="s">
        <v>2923</v>
      </c>
      <c r="F1616" s="4">
        <v>43564.490277777775</v>
      </c>
      <c r="G1616" s="3" t="s">
        <v>945</v>
      </c>
      <c r="H1616" s="3" t="s">
        <v>872</v>
      </c>
      <c r="I1616" s="3" t="s">
        <v>7043</v>
      </c>
      <c r="J1616" s="3"/>
      <c r="K1616" s="3"/>
      <c r="L1616" s="5"/>
    </row>
    <row r="1617" spans="1:12" ht="28.8" x14ac:dyDescent="0.55000000000000004">
      <c r="A1617" s="9" t="str">
        <f>HYPERLINK("PDF\FOIA-FWS-2020-00724-0001616.pdf","FOIA-FWS-2020-00724-0001616")</f>
        <v>FOIA-FWS-2020-00724-0001616</v>
      </c>
      <c r="B1617" s="3" t="s">
        <v>2924</v>
      </c>
      <c r="C1617" s="3" t="s">
        <v>3</v>
      </c>
      <c r="D1617" s="3" t="s">
        <v>33</v>
      </c>
      <c r="E1617" s="3" t="s">
        <v>2926</v>
      </c>
      <c r="F1617" s="4">
        <v>43564.513888888891</v>
      </c>
      <c r="G1617" s="3" t="s">
        <v>2925</v>
      </c>
      <c r="H1617" s="3" t="s">
        <v>919</v>
      </c>
      <c r="I1617" s="3" t="s">
        <v>7043</v>
      </c>
      <c r="J1617" s="3"/>
      <c r="K1617" s="3"/>
      <c r="L1617" s="5"/>
    </row>
    <row r="1618" spans="1:12" ht="28.8" x14ac:dyDescent="0.55000000000000004">
      <c r="A1618" s="9" t="str">
        <f>HYPERLINK("PDF\FOIA-FWS-2020-00724-0001617.pdf","FOIA-FWS-2020-00724-0001617")</f>
        <v>FOIA-FWS-2020-00724-0001617</v>
      </c>
      <c r="B1618" s="3" t="s">
        <v>2924</v>
      </c>
      <c r="C1618" s="3" t="s">
        <v>234</v>
      </c>
      <c r="D1618" s="3" t="s">
        <v>160</v>
      </c>
      <c r="E1618" s="3" t="s">
        <v>2927</v>
      </c>
      <c r="F1618" s="4">
        <v>43564.513888888891</v>
      </c>
      <c r="G1618" s="3"/>
      <c r="H1618" s="3"/>
      <c r="I1618" s="3" t="s">
        <v>7043</v>
      </c>
      <c r="J1618" s="3"/>
      <c r="K1618" s="3"/>
      <c r="L1618" s="5" t="str">
        <f>HYPERLINK("NATIVE_FILES\FOIA-FWS-2020-00724-0001617.dbf","FOIA-FWS-2020-00724-0001617.dbf")</f>
        <v>FOIA-FWS-2020-00724-0001617.dbf</v>
      </c>
    </row>
    <row r="1619" spans="1:12" ht="28.8" x14ac:dyDescent="0.55000000000000004">
      <c r="A1619" s="9" t="str">
        <f>HYPERLINK("PDF\FOIA-FWS-2020-00724-0001618.pdf","FOIA-FWS-2020-00724-0001618")</f>
        <v>FOIA-FWS-2020-00724-0001618</v>
      </c>
      <c r="B1619" s="3" t="s">
        <v>2924</v>
      </c>
      <c r="C1619" s="3" t="s">
        <v>234</v>
      </c>
      <c r="D1619" s="3" t="s">
        <v>160</v>
      </c>
      <c r="E1619" s="3" t="s">
        <v>2928</v>
      </c>
      <c r="F1619" s="4">
        <v>43564.513888888891</v>
      </c>
      <c r="G1619" s="3"/>
      <c r="H1619" s="3"/>
      <c r="I1619" s="3" t="s">
        <v>7043</v>
      </c>
      <c r="J1619" s="3"/>
      <c r="K1619" s="3"/>
      <c r="L1619" s="5" t="str">
        <f>HYPERLINK("NATIVE_FILES\FOIA-FWS-2020-00724-0001618.prj","FOIA-FWS-2020-00724-0001618.prj")</f>
        <v>FOIA-FWS-2020-00724-0001618.prj</v>
      </c>
    </row>
    <row r="1620" spans="1:12" ht="28.8" x14ac:dyDescent="0.55000000000000004">
      <c r="A1620" s="9" t="str">
        <f>HYPERLINK("PDF\FOIA-FWS-2020-00724-0001619.pdf","FOIA-FWS-2020-00724-0001619")</f>
        <v>FOIA-FWS-2020-00724-0001619</v>
      </c>
      <c r="B1620" s="3" t="s">
        <v>2924</v>
      </c>
      <c r="C1620" s="3" t="s">
        <v>234</v>
      </c>
      <c r="D1620" s="3" t="s">
        <v>160</v>
      </c>
      <c r="E1620" s="3" t="s">
        <v>2929</v>
      </c>
      <c r="F1620" s="4">
        <v>43564.513888888891</v>
      </c>
      <c r="G1620" s="3"/>
      <c r="H1620" s="3"/>
      <c r="I1620" s="3" t="s">
        <v>7043</v>
      </c>
      <c r="J1620" s="3"/>
      <c r="K1620" s="3"/>
      <c r="L1620" s="5" t="str">
        <f>HYPERLINK("NATIVE_FILES\FOIA-FWS-2020-00724-0001619.sbn","FOIA-FWS-2020-00724-0001619.sbn")</f>
        <v>FOIA-FWS-2020-00724-0001619.sbn</v>
      </c>
    </row>
    <row r="1621" spans="1:12" ht="28.8" x14ac:dyDescent="0.55000000000000004">
      <c r="A1621" s="9" t="str">
        <f>HYPERLINK("PDF\FOIA-FWS-2020-00724-0001620.pdf","FOIA-FWS-2020-00724-0001620")</f>
        <v>FOIA-FWS-2020-00724-0001620</v>
      </c>
      <c r="B1621" s="3" t="s">
        <v>2924</v>
      </c>
      <c r="C1621" s="3" t="s">
        <v>234</v>
      </c>
      <c r="D1621" s="3" t="s">
        <v>160</v>
      </c>
      <c r="E1621" s="3" t="s">
        <v>2930</v>
      </c>
      <c r="F1621" s="4">
        <v>43564.513888888891</v>
      </c>
      <c r="G1621" s="3"/>
      <c r="H1621" s="3"/>
      <c r="I1621" s="3" t="s">
        <v>7043</v>
      </c>
      <c r="J1621" s="3"/>
      <c r="K1621" s="3"/>
      <c r="L1621" s="5" t="str">
        <f>HYPERLINK("NATIVE_FILES\FOIA-FWS-2020-00724-0001620.sbx","FOIA-FWS-2020-00724-0001620.sbx")</f>
        <v>FOIA-FWS-2020-00724-0001620.sbx</v>
      </c>
    </row>
    <row r="1622" spans="1:12" ht="28.8" x14ac:dyDescent="0.55000000000000004">
      <c r="A1622" s="9" t="str">
        <f>HYPERLINK("PDF\FOIA-FWS-2020-00724-0001621.pdf","FOIA-FWS-2020-00724-0001621")</f>
        <v>FOIA-FWS-2020-00724-0001621</v>
      </c>
      <c r="B1622" s="3" t="s">
        <v>2924</v>
      </c>
      <c r="C1622" s="3" t="s">
        <v>234</v>
      </c>
      <c r="D1622" s="3" t="s">
        <v>160</v>
      </c>
      <c r="E1622" s="3" t="s">
        <v>2931</v>
      </c>
      <c r="F1622" s="4">
        <v>43564.513888888891</v>
      </c>
      <c r="G1622" s="3"/>
      <c r="H1622" s="3"/>
      <c r="I1622" s="3" t="s">
        <v>7043</v>
      </c>
      <c r="J1622" s="3"/>
      <c r="K1622" s="3"/>
      <c r="L1622" s="5" t="str">
        <f>HYPERLINK("NATIVE_FILES\FOIA-FWS-2020-00724-0001621.shp","FOIA-FWS-2020-00724-0001621.shp")</f>
        <v>FOIA-FWS-2020-00724-0001621.shp</v>
      </c>
    </row>
    <row r="1623" spans="1:12" ht="28.8" x14ac:dyDescent="0.55000000000000004">
      <c r="A1623" s="9" t="str">
        <f>HYPERLINK("PDF\FOIA-FWS-2020-00724-0001622.pdf","FOIA-FWS-2020-00724-0001622")</f>
        <v>FOIA-FWS-2020-00724-0001622</v>
      </c>
      <c r="B1623" s="3" t="s">
        <v>2924</v>
      </c>
      <c r="C1623" s="3" t="s">
        <v>234</v>
      </c>
      <c r="D1623" s="3" t="s">
        <v>160</v>
      </c>
      <c r="E1623" s="3" t="s">
        <v>2932</v>
      </c>
      <c r="F1623" s="4">
        <v>43564.513888888891</v>
      </c>
      <c r="G1623" s="3"/>
      <c r="H1623" s="3"/>
      <c r="I1623" s="3" t="s">
        <v>7043</v>
      </c>
      <c r="J1623" s="3"/>
      <c r="K1623" s="3"/>
      <c r="L1623" s="5" t="str">
        <f>HYPERLINK("NATIVE_FILES\FOIA-FWS-2020-00724-0001622.shx","FOIA-FWS-2020-00724-0001622.shx")</f>
        <v>FOIA-FWS-2020-00724-0001622.shx</v>
      </c>
    </row>
    <row r="1624" spans="1:12" ht="28.8" x14ac:dyDescent="0.55000000000000004">
      <c r="A1624" s="9" t="str">
        <f>HYPERLINK("PDF\FOIA-FWS-2020-00724-0001623.pdf","FOIA-FWS-2020-00724-0001623")</f>
        <v>FOIA-FWS-2020-00724-0001623</v>
      </c>
      <c r="B1624" s="3" t="s">
        <v>2924</v>
      </c>
      <c r="C1624" s="3" t="s">
        <v>234</v>
      </c>
      <c r="D1624" s="3" t="s">
        <v>160</v>
      </c>
      <c r="E1624" s="3" t="s">
        <v>2933</v>
      </c>
      <c r="F1624" s="4">
        <v>43564.513888888891</v>
      </c>
      <c r="G1624" s="3"/>
      <c r="H1624" s="3"/>
      <c r="I1624" s="3" t="s">
        <v>7043</v>
      </c>
      <c r="J1624" s="3"/>
      <c r="K1624" s="3"/>
      <c r="L1624" s="5" t="str">
        <f>HYPERLINK("NATIVE_FILES\FOIA-FWS-2020-00724-0001623.dbf","FOIA-FWS-2020-00724-0001623.dbf")</f>
        <v>FOIA-FWS-2020-00724-0001623.dbf</v>
      </c>
    </row>
    <row r="1625" spans="1:12" ht="28.8" x14ac:dyDescent="0.55000000000000004">
      <c r="A1625" s="9" t="str">
        <f>HYPERLINK("PDF\FOIA-FWS-2020-00724-0001624.pdf","FOIA-FWS-2020-00724-0001624")</f>
        <v>FOIA-FWS-2020-00724-0001624</v>
      </c>
      <c r="B1625" s="3" t="s">
        <v>2924</v>
      </c>
      <c r="C1625" s="3" t="s">
        <v>234</v>
      </c>
      <c r="D1625" s="3" t="s">
        <v>160</v>
      </c>
      <c r="E1625" s="3" t="s">
        <v>2934</v>
      </c>
      <c r="F1625" s="4">
        <v>43564.513888888891</v>
      </c>
      <c r="G1625" s="3"/>
      <c r="H1625" s="3"/>
      <c r="I1625" s="3" t="s">
        <v>7043</v>
      </c>
      <c r="J1625" s="3"/>
      <c r="K1625" s="3"/>
      <c r="L1625" s="5" t="str">
        <f>HYPERLINK("NATIVE_FILES\FOIA-FWS-2020-00724-0001624.prj","FOIA-FWS-2020-00724-0001624.prj")</f>
        <v>FOIA-FWS-2020-00724-0001624.prj</v>
      </c>
    </row>
    <row r="1626" spans="1:12" ht="28.8" x14ac:dyDescent="0.55000000000000004">
      <c r="A1626" s="9" t="str">
        <f>HYPERLINK("PDF\FOIA-FWS-2020-00724-0001625.pdf","FOIA-FWS-2020-00724-0001625")</f>
        <v>FOIA-FWS-2020-00724-0001625</v>
      </c>
      <c r="B1626" s="3" t="s">
        <v>2924</v>
      </c>
      <c r="C1626" s="3" t="s">
        <v>234</v>
      </c>
      <c r="D1626" s="3" t="s">
        <v>160</v>
      </c>
      <c r="E1626" s="3" t="s">
        <v>2935</v>
      </c>
      <c r="F1626" s="4">
        <v>43564.513888888891</v>
      </c>
      <c r="G1626" s="3"/>
      <c r="H1626" s="3"/>
      <c r="I1626" s="3" t="s">
        <v>7043</v>
      </c>
      <c r="J1626" s="3"/>
      <c r="K1626" s="3"/>
      <c r="L1626" s="5" t="str">
        <f>HYPERLINK("NATIVE_FILES\FOIA-FWS-2020-00724-0001625.sbn","FOIA-FWS-2020-00724-0001625.sbn")</f>
        <v>FOIA-FWS-2020-00724-0001625.sbn</v>
      </c>
    </row>
    <row r="1627" spans="1:12" ht="28.8" x14ac:dyDescent="0.55000000000000004">
      <c r="A1627" s="9" t="str">
        <f>HYPERLINK("PDF\FOIA-FWS-2020-00724-0001626.pdf","FOIA-FWS-2020-00724-0001626")</f>
        <v>FOIA-FWS-2020-00724-0001626</v>
      </c>
      <c r="B1627" s="3" t="s">
        <v>2924</v>
      </c>
      <c r="C1627" s="3" t="s">
        <v>234</v>
      </c>
      <c r="D1627" s="3" t="s">
        <v>160</v>
      </c>
      <c r="E1627" s="3" t="s">
        <v>2936</v>
      </c>
      <c r="F1627" s="4">
        <v>43564.513888888891</v>
      </c>
      <c r="G1627" s="3"/>
      <c r="H1627" s="3"/>
      <c r="I1627" s="3" t="s">
        <v>7043</v>
      </c>
      <c r="J1627" s="3"/>
      <c r="K1627" s="3"/>
      <c r="L1627" s="5" t="str">
        <f>HYPERLINK("NATIVE_FILES\FOIA-FWS-2020-00724-0001626.sbx","FOIA-FWS-2020-00724-0001626.sbx")</f>
        <v>FOIA-FWS-2020-00724-0001626.sbx</v>
      </c>
    </row>
    <row r="1628" spans="1:12" ht="28.8" x14ac:dyDescent="0.55000000000000004">
      <c r="A1628" s="9" t="str">
        <f>HYPERLINK("PDF\FOIA-FWS-2020-00724-0001627.pdf","FOIA-FWS-2020-00724-0001627")</f>
        <v>FOIA-FWS-2020-00724-0001627</v>
      </c>
      <c r="B1628" s="3" t="s">
        <v>2924</v>
      </c>
      <c r="C1628" s="3" t="s">
        <v>234</v>
      </c>
      <c r="D1628" s="3" t="s">
        <v>160</v>
      </c>
      <c r="E1628" s="3" t="s">
        <v>2937</v>
      </c>
      <c r="F1628" s="4">
        <v>43564.513888888891</v>
      </c>
      <c r="G1628" s="3"/>
      <c r="H1628" s="3"/>
      <c r="I1628" s="3" t="s">
        <v>7043</v>
      </c>
      <c r="J1628" s="3"/>
      <c r="K1628" s="3"/>
      <c r="L1628" s="5" t="str">
        <f>HYPERLINK("NATIVE_FILES\FOIA-FWS-2020-00724-0001627.shp","FOIA-FWS-2020-00724-0001627.shp")</f>
        <v>FOIA-FWS-2020-00724-0001627.shp</v>
      </c>
    </row>
    <row r="1629" spans="1:12" ht="28.8" x14ac:dyDescent="0.55000000000000004">
      <c r="A1629" s="9" t="str">
        <f>HYPERLINK("PDF\FOIA-FWS-2020-00724-0001628.pdf","FOIA-FWS-2020-00724-0001628")</f>
        <v>FOIA-FWS-2020-00724-0001628</v>
      </c>
      <c r="B1629" s="3" t="s">
        <v>2924</v>
      </c>
      <c r="C1629" s="3" t="s">
        <v>234</v>
      </c>
      <c r="D1629" s="3" t="s">
        <v>160</v>
      </c>
      <c r="E1629" s="3" t="s">
        <v>2938</v>
      </c>
      <c r="F1629" s="4">
        <v>43564.513888888891</v>
      </c>
      <c r="G1629" s="3"/>
      <c r="H1629" s="3"/>
      <c r="I1629" s="3" t="s">
        <v>7043</v>
      </c>
      <c r="J1629" s="3"/>
      <c r="K1629" s="3"/>
      <c r="L1629" s="5" t="str">
        <f>HYPERLINK("NATIVE_FILES\FOIA-FWS-2020-00724-0001628.shx","FOIA-FWS-2020-00724-0001628.shx")</f>
        <v>FOIA-FWS-2020-00724-0001628.shx</v>
      </c>
    </row>
    <row r="1630" spans="1:12" ht="28.8" x14ac:dyDescent="0.55000000000000004">
      <c r="A1630" s="9" t="str">
        <f>HYPERLINK("PDF\FOIA-FWS-2020-00724-0001629.pdf","FOIA-FWS-2020-00724-0001629")</f>
        <v>FOIA-FWS-2020-00724-0001629</v>
      </c>
      <c r="B1630" s="3" t="s">
        <v>2924</v>
      </c>
      <c r="C1630" s="3" t="s">
        <v>234</v>
      </c>
      <c r="D1630" s="3" t="s">
        <v>160</v>
      </c>
      <c r="E1630" s="3" t="s">
        <v>2939</v>
      </c>
      <c r="F1630" s="4">
        <v>43564.513888888891</v>
      </c>
      <c r="G1630" s="3"/>
      <c r="H1630" s="3"/>
      <c r="I1630" s="3" t="s">
        <v>7043</v>
      </c>
      <c r="J1630" s="3"/>
      <c r="K1630" s="3"/>
      <c r="L1630" s="5" t="str">
        <f>HYPERLINK("NATIVE_FILES\FOIA-FWS-2020-00724-0001629.dbf","FOIA-FWS-2020-00724-0001629.dbf")</f>
        <v>FOIA-FWS-2020-00724-0001629.dbf</v>
      </c>
    </row>
    <row r="1631" spans="1:12" ht="28.8" x14ac:dyDescent="0.55000000000000004">
      <c r="A1631" s="9" t="str">
        <f>HYPERLINK("PDF\FOIA-FWS-2020-00724-0001630.pdf","FOIA-FWS-2020-00724-0001630")</f>
        <v>FOIA-FWS-2020-00724-0001630</v>
      </c>
      <c r="B1631" s="3" t="s">
        <v>2924</v>
      </c>
      <c r="C1631" s="3" t="s">
        <v>234</v>
      </c>
      <c r="D1631" s="3" t="s">
        <v>160</v>
      </c>
      <c r="E1631" s="3" t="s">
        <v>2940</v>
      </c>
      <c r="F1631" s="4">
        <v>43564.513888888891</v>
      </c>
      <c r="G1631" s="3"/>
      <c r="H1631" s="3"/>
      <c r="I1631" s="3" t="s">
        <v>7043</v>
      </c>
      <c r="J1631" s="3"/>
      <c r="K1631" s="3"/>
      <c r="L1631" s="5" t="str">
        <f>HYPERLINK("NATIVE_FILES\FOIA-FWS-2020-00724-0001630.prj","FOIA-FWS-2020-00724-0001630.prj")</f>
        <v>FOIA-FWS-2020-00724-0001630.prj</v>
      </c>
    </row>
    <row r="1632" spans="1:12" ht="28.8" x14ac:dyDescent="0.55000000000000004">
      <c r="A1632" s="9" t="str">
        <f>HYPERLINK("PDF\FOIA-FWS-2020-00724-0001631.pdf","FOIA-FWS-2020-00724-0001631")</f>
        <v>FOIA-FWS-2020-00724-0001631</v>
      </c>
      <c r="B1632" s="3" t="s">
        <v>2924</v>
      </c>
      <c r="C1632" s="3" t="s">
        <v>234</v>
      </c>
      <c r="D1632" s="3" t="s">
        <v>160</v>
      </c>
      <c r="E1632" s="3" t="s">
        <v>2941</v>
      </c>
      <c r="F1632" s="4">
        <v>43564.513888888891</v>
      </c>
      <c r="G1632" s="3"/>
      <c r="H1632" s="3"/>
      <c r="I1632" s="3" t="s">
        <v>7043</v>
      </c>
      <c r="J1632" s="3"/>
      <c r="K1632" s="3"/>
      <c r="L1632" s="5" t="str">
        <f>HYPERLINK("NATIVE_FILES\FOIA-FWS-2020-00724-0001631.sbn","FOIA-FWS-2020-00724-0001631.sbn")</f>
        <v>FOIA-FWS-2020-00724-0001631.sbn</v>
      </c>
    </row>
    <row r="1633" spans="1:12" ht="28.8" x14ac:dyDescent="0.55000000000000004">
      <c r="A1633" s="9" t="str">
        <f>HYPERLINK("PDF\FOIA-FWS-2020-00724-0001632.pdf","FOIA-FWS-2020-00724-0001632")</f>
        <v>FOIA-FWS-2020-00724-0001632</v>
      </c>
      <c r="B1633" s="3" t="s">
        <v>2924</v>
      </c>
      <c r="C1633" s="3" t="s">
        <v>234</v>
      </c>
      <c r="D1633" s="3" t="s">
        <v>160</v>
      </c>
      <c r="E1633" s="3" t="s">
        <v>2942</v>
      </c>
      <c r="F1633" s="4">
        <v>43564.513888888891</v>
      </c>
      <c r="G1633" s="3"/>
      <c r="H1633" s="3"/>
      <c r="I1633" s="3" t="s">
        <v>7043</v>
      </c>
      <c r="J1633" s="3"/>
      <c r="K1633" s="3"/>
      <c r="L1633" s="5" t="str">
        <f>HYPERLINK("NATIVE_FILES\FOIA-FWS-2020-00724-0001632.sbx","FOIA-FWS-2020-00724-0001632.sbx")</f>
        <v>FOIA-FWS-2020-00724-0001632.sbx</v>
      </c>
    </row>
    <row r="1634" spans="1:12" ht="28.8" x14ac:dyDescent="0.55000000000000004">
      <c r="A1634" s="9" t="str">
        <f>HYPERLINK("PDF\FOIA-FWS-2020-00724-0001633.pdf","FOIA-FWS-2020-00724-0001633")</f>
        <v>FOIA-FWS-2020-00724-0001633</v>
      </c>
      <c r="B1634" s="3" t="s">
        <v>2924</v>
      </c>
      <c r="C1634" s="3" t="s">
        <v>234</v>
      </c>
      <c r="D1634" s="3" t="s">
        <v>160</v>
      </c>
      <c r="E1634" s="3" t="s">
        <v>2943</v>
      </c>
      <c r="F1634" s="4">
        <v>43564.513888888891</v>
      </c>
      <c r="G1634" s="3"/>
      <c r="H1634" s="3"/>
      <c r="I1634" s="3" t="s">
        <v>7043</v>
      </c>
      <c r="J1634" s="3"/>
      <c r="K1634" s="3"/>
      <c r="L1634" s="5" t="str">
        <f>HYPERLINK("NATIVE_FILES\FOIA-FWS-2020-00724-0001633.shp","FOIA-FWS-2020-00724-0001633.shp")</f>
        <v>FOIA-FWS-2020-00724-0001633.shp</v>
      </c>
    </row>
    <row r="1635" spans="1:12" ht="28.8" x14ac:dyDescent="0.55000000000000004">
      <c r="A1635" s="9" t="str">
        <f>HYPERLINK("PDF\FOIA-FWS-2020-00724-0001634.pdf","FOIA-FWS-2020-00724-0001634")</f>
        <v>FOIA-FWS-2020-00724-0001634</v>
      </c>
      <c r="B1635" s="3" t="s">
        <v>2924</v>
      </c>
      <c r="C1635" s="3" t="s">
        <v>234</v>
      </c>
      <c r="D1635" s="3" t="s">
        <v>160</v>
      </c>
      <c r="E1635" s="3" t="s">
        <v>2944</v>
      </c>
      <c r="F1635" s="4">
        <v>43564.513888888891</v>
      </c>
      <c r="G1635" s="3"/>
      <c r="H1635" s="3"/>
      <c r="I1635" s="3" t="s">
        <v>7043</v>
      </c>
      <c r="J1635" s="3"/>
      <c r="K1635" s="3"/>
      <c r="L1635" s="5" t="str">
        <f>HYPERLINK("NATIVE_FILES\FOIA-FWS-2020-00724-0001634.shx","FOIA-FWS-2020-00724-0001634.shx")</f>
        <v>FOIA-FWS-2020-00724-0001634.shx</v>
      </c>
    </row>
    <row r="1636" spans="1:12" ht="28.8" x14ac:dyDescent="0.55000000000000004">
      <c r="A1636" s="9" t="str">
        <f>HYPERLINK("PDF\FOIA-FWS-2020-00724-0001635.pdf","FOIA-FWS-2020-00724-0001635")</f>
        <v>FOIA-FWS-2020-00724-0001635</v>
      </c>
      <c r="B1636" s="3" t="s">
        <v>2924</v>
      </c>
      <c r="C1636" s="3" t="s">
        <v>234</v>
      </c>
      <c r="D1636" s="3" t="s">
        <v>160</v>
      </c>
      <c r="E1636" s="3" t="s">
        <v>2945</v>
      </c>
      <c r="F1636" s="4">
        <v>43564.513888888891</v>
      </c>
      <c r="G1636" s="3"/>
      <c r="H1636" s="3"/>
      <c r="I1636" s="3" t="s">
        <v>7043</v>
      </c>
      <c r="J1636" s="3"/>
      <c r="K1636" s="3"/>
      <c r="L1636" s="5" t="str">
        <f>HYPERLINK("NATIVE_FILES\FOIA-FWS-2020-00724-0001635.dbf","FOIA-FWS-2020-00724-0001635.dbf")</f>
        <v>FOIA-FWS-2020-00724-0001635.dbf</v>
      </c>
    </row>
    <row r="1637" spans="1:12" ht="28.8" x14ac:dyDescent="0.55000000000000004">
      <c r="A1637" s="9" t="str">
        <f>HYPERLINK("PDF\FOIA-FWS-2020-00724-0001636.pdf","FOIA-FWS-2020-00724-0001636")</f>
        <v>FOIA-FWS-2020-00724-0001636</v>
      </c>
      <c r="B1637" s="3" t="s">
        <v>2924</v>
      </c>
      <c r="C1637" s="3" t="s">
        <v>234</v>
      </c>
      <c r="D1637" s="3" t="s">
        <v>160</v>
      </c>
      <c r="E1637" s="3" t="s">
        <v>2946</v>
      </c>
      <c r="F1637" s="4">
        <v>43564.513888888891</v>
      </c>
      <c r="G1637" s="3"/>
      <c r="H1637" s="3"/>
      <c r="I1637" s="3" t="s">
        <v>7043</v>
      </c>
      <c r="J1637" s="3"/>
      <c r="K1637" s="3"/>
      <c r="L1637" s="5" t="str">
        <f>HYPERLINK("NATIVE_FILES\FOIA-FWS-2020-00724-0001636.prj","FOIA-FWS-2020-00724-0001636.prj")</f>
        <v>FOIA-FWS-2020-00724-0001636.prj</v>
      </c>
    </row>
    <row r="1638" spans="1:12" ht="28.8" x14ac:dyDescent="0.55000000000000004">
      <c r="A1638" s="9" t="str">
        <f>HYPERLINK("PDF\FOIA-FWS-2020-00724-0001637.pdf","FOIA-FWS-2020-00724-0001637")</f>
        <v>FOIA-FWS-2020-00724-0001637</v>
      </c>
      <c r="B1638" s="3" t="s">
        <v>2924</v>
      </c>
      <c r="C1638" s="3" t="s">
        <v>234</v>
      </c>
      <c r="D1638" s="3" t="s">
        <v>160</v>
      </c>
      <c r="E1638" s="3" t="s">
        <v>2947</v>
      </c>
      <c r="F1638" s="4">
        <v>43564.513888888891</v>
      </c>
      <c r="G1638" s="3"/>
      <c r="H1638" s="3"/>
      <c r="I1638" s="3" t="s">
        <v>7043</v>
      </c>
      <c r="J1638" s="3"/>
      <c r="K1638" s="3"/>
      <c r="L1638" s="5" t="str">
        <f>HYPERLINK("NATIVE_FILES\FOIA-FWS-2020-00724-0001637.sbn","FOIA-FWS-2020-00724-0001637.sbn")</f>
        <v>FOIA-FWS-2020-00724-0001637.sbn</v>
      </c>
    </row>
    <row r="1639" spans="1:12" ht="28.8" x14ac:dyDescent="0.55000000000000004">
      <c r="A1639" s="9" t="str">
        <f>HYPERLINK("PDF\FOIA-FWS-2020-00724-0001638.pdf","FOIA-FWS-2020-00724-0001638")</f>
        <v>FOIA-FWS-2020-00724-0001638</v>
      </c>
      <c r="B1639" s="3" t="s">
        <v>2924</v>
      </c>
      <c r="C1639" s="3" t="s">
        <v>234</v>
      </c>
      <c r="D1639" s="3" t="s">
        <v>160</v>
      </c>
      <c r="E1639" s="3" t="s">
        <v>2948</v>
      </c>
      <c r="F1639" s="4">
        <v>43564.513888888891</v>
      </c>
      <c r="G1639" s="3"/>
      <c r="H1639" s="3"/>
      <c r="I1639" s="3" t="s">
        <v>7043</v>
      </c>
      <c r="J1639" s="3"/>
      <c r="K1639" s="3"/>
      <c r="L1639" s="5" t="str">
        <f>HYPERLINK("NATIVE_FILES\FOIA-FWS-2020-00724-0001638.sbx","FOIA-FWS-2020-00724-0001638.sbx")</f>
        <v>FOIA-FWS-2020-00724-0001638.sbx</v>
      </c>
    </row>
    <row r="1640" spans="1:12" ht="28.8" x14ac:dyDescent="0.55000000000000004">
      <c r="A1640" s="9" t="str">
        <f>HYPERLINK("PDF\FOIA-FWS-2020-00724-0001639.pdf","FOIA-FWS-2020-00724-0001639")</f>
        <v>FOIA-FWS-2020-00724-0001639</v>
      </c>
      <c r="B1640" s="3" t="s">
        <v>2924</v>
      </c>
      <c r="C1640" s="3" t="s">
        <v>234</v>
      </c>
      <c r="D1640" s="3" t="s">
        <v>160</v>
      </c>
      <c r="E1640" s="3" t="s">
        <v>2949</v>
      </c>
      <c r="F1640" s="4">
        <v>43564.513888888891</v>
      </c>
      <c r="G1640" s="3"/>
      <c r="H1640" s="3"/>
      <c r="I1640" s="3" t="s">
        <v>7043</v>
      </c>
      <c r="J1640" s="3"/>
      <c r="K1640" s="3"/>
      <c r="L1640" s="5" t="str">
        <f>HYPERLINK("NATIVE_FILES\FOIA-FWS-2020-00724-0001639.shp","FOIA-FWS-2020-00724-0001639.shp")</f>
        <v>FOIA-FWS-2020-00724-0001639.shp</v>
      </c>
    </row>
    <row r="1641" spans="1:12" ht="28.8" x14ac:dyDescent="0.55000000000000004">
      <c r="A1641" s="9" t="str">
        <f>HYPERLINK("PDF\FOIA-FWS-2020-00724-0001640.pdf","FOIA-FWS-2020-00724-0001640")</f>
        <v>FOIA-FWS-2020-00724-0001640</v>
      </c>
      <c r="B1641" s="3" t="s">
        <v>2924</v>
      </c>
      <c r="C1641" s="3" t="s">
        <v>234</v>
      </c>
      <c r="D1641" s="3" t="s">
        <v>160</v>
      </c>
      <c r="E1641" s="3" t="s">
        <v>2950</v>
      </c>
      <c r="F1641" s="4">
        <v>43564.513888888891</v>
      </c>
      <c r="G1641" s="3"/>
      <c r="H1641" s="3"/>
      <c r="I1641" s="3" t="s">
        <v>7043</v>
      </c>
      <c r="J1641" s="3"/>
      <c r="K1641" s="3"/>
      <c r="L1641" s="5" t="str">
        <f>HYPERLINK("NATIVE_FILES\FOIA-FWS-2020-00724-0001640.shx","FOIA-FWS-2020-00724-0001640.shx")</f>
        <v>FOIA-FWS-2020-00724-0001640.shx</v>
      </c>
    </row>
    <row r="1642" spans="1:12" ht="28.8" x14ac:dyDescent="0.55000000000000004">
      <c r="A1642" s="9" t="str">
        <f>HYPERLINK("PDF\FOIA-FWS-2020-00724-0001641.pdf","FOIA-FWS-2020-00724-0001641")</f>
        <v>FOIA-FWS-2020-00724-0001641</v>
      </c>
      <c r="B1642" s="3" t="s">
        <v>2924</v>
      </c>
      <c r="C1642" s="3" t="s">
        <v>234</v>
      </c>
      <c r="D1642" s="3" t="s">
        <v>33</v>
      </c>
      <c r="E1642" s="3" t="s">
        <v>2951</v>
      </c>
      <c r="F1642" s="4">
        <v>43564.513888888891</v>
      </c>
      <c r="G1642" s="3"/>
      <c r="H1642" s="3"/>
      <c r="I1642" s="3" t="s">
        <v>7043</v>
      </c>
      <c r="J1642" s="3"/>
      <c r="K1642" s="3"/>
      <c r="L1642" s="5"/>
    </row>
    <row r="1643" spans="1:12" ht="28.8" x14ac:dyDescent="0.55000000000000004">
      <c r="A1643" s="9" t="str">
        <f>HYPERLINK("PDF\FOIA-FWS-2020-00724-0001642.pdf","FOIA-FWS-2020-00724-0001642")</f>
        <v>FOIA-FWS-2020-00724-0001642</v>
      </c>
      <c r="B1643" s="3" t="s">
        <v>2952</v>
      </c>
      <c r="C1643" s="3" t="s">
        <v>3</v>
      </c>
      <c r="D1643" s="3" t="s">
        <v>33</v>
      </c>
      <c r="E1643" s="3" t="s">
        <v>2954</v>
      </c>
      <c r="F1643" s="4">
        <v>43564.540277777778</v>
      </c>
      <c r="G1643" s="3" t="s">
        <v>919</v>
      </c>
      <c r="H1643" s="3" t="s">
        <v>2953</v>
      </c>
      <c r="I1643" s="3" t="s">
        <v>7043</v>
      </c>
      <c r="J1643" s="3"/>
      <c r="K1643" s="3"/>
      <c r="L1643" s="5"/>
    </row>
    <row r="1644" spans="1:12" ht="28.8" x14ac:dyDescent="0.55000000000000004">
      <c r="A1644" s="9" t="str">
        <f>HYPERLINK("PDF\FOIA-FWS-2020-00724-0001643.pdf","FOIA-FWS-2020-00724-0001643")</f>
        <v>FOIA-FWS-2020-00724-0001643</v>
      </c>
      <c r="B1644" s="3" t="s">
        <v>2955</v>
      </c>
      <c r="C1644" s="3" t="s">
        <v>3</v>
      </c>
      <c r="D1644" s="3" t="s">
        <v>33</v>
      </c>
      <c r="E1644" s="3" t="s">
        <v>2956</v>
      </c>
      <c r="F1644" s="4">
        <v>43564.684027777781</v>
      </c>
      <c r="G1644" s="3" t="s">
        <v>872</v>
      </c>
      <c r="H1644" s="3" t="s">
        <v>1250</v>
      </c>
      <c r="I1644" s="3" t="s">
        <v>7043</v>
      </c>
      <c r="J1644" s="3"/>
      <c r="K1644" s="3"/>
      <c r="L1644" s="5"/>
    </row>
    <row r="1645" spans="1:12" ht="28.8" x14ac:dyDescent="0.55000000000000004">
      <c r="A1645" s="9" t="str">
        <f>HYPERLINK("PDF\FOIA-FWS-2020-00724-0001644.pdf","FOIA-FWS-2020-00724-0001644")</f>
        <v>FOIA-FWS-2020-00724-0001644</v>
      </c>
      <c r="B1645" s="3" t="s">
        <v>2957</v>
      </c>
      <c r="C1645" s="3" t="s">
        <v>3</v>
      </c>
      <c r="D1645" s="3" t="s">
        <v>33</v>
      </c>
      <c r="E1645" s="3" t="s">
        <v>2958</v>
      </c>
      <c r="F1645" s="4">
        <v>43564.771527777775</v>
      </c>
      <c r="G1645" s="3" t="s">
        <v>2054</v>
      </c>
      <c r="H1645" s="3" t="s">
        <v>1392</v>
      </c>
      <c r="I1645" s="3" t="s">
        <v>7043</v>
      </c>
      <c r="J1645" s="3"/>
      <c r="K1645" s="3"/>
      <c r="L1645" s="5"/>
    </row>
    <row r="1646" spans="1:12" ht="28.8" x14ac:dyDescent="0.55000000000000004">
      <c r="A1646" s="9" t="str">
        <f>HYPERLINK("PDF\FOIA-FWS-2020-00724-0001645.pdf","FOIA-FWS-2020-00724-0001645")</f>
        <v>FOIA-FWS-2020-00724-0001645</v>
      </c>
      <c r="B1646" s="3" t="s">
        <v>2959</v>
      </c>
      <c r="C1646" s="3" t="s">
        <v>3</v>
      </c>
      <c r="D1646" s="3" t="s">
        <v>33</v>
      </c>
      <c r="E1646" s="3" t="s">
        <v>2865</v>
      </c>
      <c r="F1646" s="4">
        <v>43564.857638888891</v>
      </c>
      <c r="G1646" s="3" t="s">
        <v>872</v>
      </c>
      <c r="H1646" s="3" t="s">
        <v>963</v>
      </c>
      <c r="I1646" s="3" t="s">
        <v>7043</v>
      </c>
      <c r="J1646" s="3"/>
      <c r="K1646" s="3"/>
      <c r="L1646" s="5"/>
    </row>
    <row r="1647" spans="1:12" ht="28.8" x14ac:dyDescent="0.55000000000000004">
      <c r="A1647" s="9" t="str">
        <f>HYPERLINK("PDF\FOIA-FWS-2020-00724-0001646.pdf","FOIA-FWS-2020-00724-0001646")</f>
        <v>FOIA-FWS-2020-00724-0001646</v>
      </c>
      <c r="B1647" s="3" t="s">
        <v>2960</v>
      </c>
      <c r="C1647" s="3" t="s">
        <v>3</v>
      </c>
      <c r="D1647" s="3" t="s">
        <v>33</v>
      </c>
      <c r="E1647" s="3" t="s">
        <v>2961</v>
      </c>
      <c r="F1647" s="4">
        <v>43564.869444444441</v>
      </c>
      <c r="G1647" s="3" t="s">
        <v>893</v>
      </c>
      <c r="H1647" s="3" t="s">
        <v>872</v>
      </c>
      <c r="I1647" s="3" t="s">
        <v>7043</v>
      </c>
      <c r="J1647" s="3"/>
      <c r="K1647" s="3"/>
      <c r="L1647" s="5"/>
    </row>
    <row r="1648" spans="1:12" ht="28.8" x14ac:dyDescent="0.55000000000000004">
      <c r="A1648" s="9" t="str">
        <f>HYPERLINK("PDF\FOIA-FWS-2020-00724-0001647.pdf","FOIA-FWS-2020-00724-0001647")</f>
        <v>FOIA-FWS-2020-00724-0001647</v>
      </c>
      <c r="B1648" s="3" t="s">
        <v>2962</v>
      </c>
      <c r="C1648" s="3" t="s">
        <v>3</v>
      </c>
      <c r="D1648" s="3" t="s">
        <v>33</v>
      </c>
      <c r="E1648" s="3" t="s">
        <v>2963</v>
      </c>
      <c r="F1648" s="4">
        <v>43565.497916666667</v>
      </c>
      <c r="G1648" s="3" t="s">
        <v>1516</v>
      </c>
      <c r="H1648" s="3" t="s">
        <v>2166</v>
      </c>
      <c r="I1648" s="3" t="s">
        <v>7043</v>
      </c>
      <c r="J1648" s="3"/>
      <c r="K1648" s="3"/>
      <c r="L1648" s="5"/>
    </row>
    <row r="1649" spans="1:12" ht="28.8" x14ac:dyDescent="0.55000000000000004">
      <c r="A1649" s="9" t="str">
        <f>HYPERLINK("PDF\FOIA-FWS-2020-00724-0001648.pdf","FOIA-FWS-2020-00724-0001648")</f>
        <v>FOIA-FWS-2020-00724-0001648</v>
      </c>
      <c r="B1649" s="3" t="s">
        <v>2964</v>
      </c>
      <c r="C1649" s="3" t="s">
        <v>3</v>
      </c>
      <c r="D1649" s="3" t="s">
        <v>33</v>
      </c>
      <c r="E1649" s="3" t="s">
        <v>2966</v>
      </c>
      <c r="F1649" s="4">
        <v>43565.729166666664</v>
      </c>
      <c r="G1649" s="3" t="s">
        <v>2965</v>
      </c>
      <c r="H1649" s="3" t="s">
        <v>872</v>
      </c>
      <c r="I1649" s="3" t="s">
        <v>7043</v>
      </c>
      <c r="J1649" s="3"/>
      <c r="K1649" s="3"/>
      <c r="L1649" s="5"/>
    </row>
    <row r="1650" spans="1:12" ht="28.8" x14ac:dyDescent="0.55000000000000004">
      <c r="A1650" s="9" t="str">
        <f>HYPERLINK("PDF\FOIA-FWS-2020-00724-0001649.pdf","FOIA-FWS-2020-00724-0001649")</f>
        <v>FOIA-FWS-2020-00724-0001649</v>
      </c>
      <c r="B1650" s="3" t="s">
        <v>2964</v>
      </c>
      <c r="C1650" s="3" t="s">
        <v>234</v>
      </c>
      <c r="D1650" s="3" t="s">
        <v>4</v>
      </c>
      <c r="E1650" s="3" t="s">
        <v>2967</v>
      </c>
      <c r="F1650" s="4">
        <v>43565.729166666664</v>
      </c>
      <c r="G1650" s="3"/>
      <c r="H1650" s="3"/>
      <c r="I1650" s="3" t="s">
        <v>7043</v>
      </c>
      <c r="J1650" s="3"/>
      <c r="K1650" s="3"/>
      <c r="L1650" s="5"/>
    </row>
    <row r="1651" spans="1:12" ht="28.8" x14ac:dyDescent="0.55000000000000004">
      <c r="A1651" s="9" t="str">
        <f>HYPERLINK("PDF\FOIA-FWS-2020-00724-0001650.pdf","FOIA-FWS-2020-00724-0001650")</f>
        <v>FOIA-FWS-2020-00724-0001650</v>
      </c>
      <c r="B1651" s="3" t="s">
        <v>2968</v>
      </c>
      <c r="C1651" s="3" t="s">
        <v>3</v>
      </c>
      <c r="D1651" s="3" t="s">
        <v>160</v>
      </c>
      <c r="E1651" s="3" t="s">
        <v>2969</v>
      </c>
      <c r="F1651" s="4">
        <v>43566</v>
      </c>
      <c r="G1651" s="3"/>
      <c r="H1651" s="3"/>
      <c r="I1651" s="3" t="s">
        <v>7043</v>
      </c>
      <c r="J1651" s="3"/>
      <c r="K1651" s="3"/>
      <c r="L1651" s="5"/>
    </row>
    <row r="1652" spans="1:12" ht="28.8" x14ac:dyDescent="0.55000000000000004">
      <c r="A1652" s="9" t="str">
        <f>HYPERLINK("PDF\FOIA-FWS-2020-00724-0001651.pdf","FOIA-FWS-2020-00724-0001651")</f>
        <v>FOIA-FWS-2020-00724-0001651</v>
      </c>
      <c r="B1652" s="3" t="s">
        <v>2970</v>
      </c>
      <c r="C1652" s="3" t="s">
        <v>3</v>
      </c>
      <c r="D1652" s="3" t="s">
        <v>33</v>
      </c>
      <c r="E1652" s="3" t="s">
        <v>2971</v>
      </c>
      <c r="F1652" s="4">
        <v>43566</v>
      </c>
      <c r="G1652" s="3"/>
      <c r="H1652" s="3"/>
      <c r="I1652" s="3" t="s">
        <v>7043</v>
      </c>
      <c r="J1652" s="3"/>
      <c r="K1652" s="3"/>
      <c r="L1652" s="5"/>
    </row>
    <row r="1653" spans="1:12" ht="28.8" x14ac:dyDescent="0.55000000000000004">
      <c r="A1653" s="9" t="str">
        <f>HYPERLINK("PDF\FOIA-FWS-2020-00724-0001652.pdf","FOIA-FWS-2020-00724-0001652")</f>
        <v>FOIA-FWS-2020-00724-0001652</v>
      </c>
      <c r="B1653" s="3" t="s">
        <v>2972</v>
      </c>
      <c r="C1653" s="3" t="s">
        <v>3</v>
      </c>
      <c r="D1653" s="3" t="s">
        <v>33</v>
      </c>
      <c r="E1653" s="3" t="s">
        <v>2974</v>
      </c>
      <c r="F1653" s="4">
        <v>43566.504861111112</v>
      </c>
      <c r="G1653" s="3" t="s">
        <v>872</v>
      </c>
      <c r="H1653" s="3" t="s">
        <v>2973</v>
      </c>
      <c r="I1653" s="3" t="s">
        <v>7043</v>
      </c>
      <c r="J1653" s="3"/>
      <c r="K1653" s="3"/>
      <c r="L1653" s="5"/>
    </row>
    <row r="1654" spans="1:12" ht="28.8" x14ac:dyDescent="0.55000000000000004">
      <c r="A1654" s="9" t="str">
        <f>HYPERLINK("PDF\FOIA-FWS-2020-00724-0001653.pdf","FOIA-FWS-2020-00724-0001653")</f>
        <v>FOIA-FWS-2020-00724-0001653</v>
      </c>
      <c r="B1654" s="3" t="s">
        <v>2975</v>
      </c>
      <c r="C1654" s="3" t="s">
        <v>3</v>
      </c>
      <c r="D1654" s="3" t="s">
        <v>33</v>
      </c>
      <c r="E1654" s="3" t="s">
        <v>2976</v>
      </c>
      <c r="F1654" s="4">
        <v>43566.657638888886</v>
      </c>
      <c r="G1654" s="3" t="s">
        <v>2973</v>
      </c>
      <c r="H1654" s="3" t="s">
        <v>872</v>
      </c>
      <c r="I1654" s="3" t="s">
        <v>7043</v>
      </c>
      <c r="J1654" s="3"/>
      <c r="K1654" s="3"/>
      <c r="L1654" s="5"/>
    </row>
    <row r="1655" spans="1:12" ht="28.8" x14ac:dyDescent="0.55000000000000004">
      <c r="A1655" s="9" t="str">
        <f>HYPERLINK("PDF\FOIA-FWS-2020-00724-0001654.pdf","FOIA-FWS-2020-00724-0001654")</f>
        <v>FOIA-FWS-2020-00724-0001654</v>
      </c>
      <c r="B1655" s="3" t="s">
        <v>2977</v>
      </c>
      <c r="C1655" s="3" t="s">
        <v>3</v>
      </c>
      <c r="D1655" s="3" t="s">
        <v>33</v>
      </c>
      <c r="E1655" s="3" t="s">
        <v>2978</v>
      </c>
      <c r="F1655" s="4">
        <v>43566.715277777781</v>
      </c>
      <c r="G1655" s="3" t="s">
        <v>2965</v>
      </c>
      <c r="H1655" s="3" t="s">
        <v>872</v>
      </c>
      <c r="I1655" s="3" t="s">
        <v>7043</v>
      </c>
      <c r="J1655" s="3"/>
      <c r="K1655" s="3"/>
      <c r="L1655" s="5"/>
    </row>
    <row r="1656" spans="1:12" ht="28.8" x14ac:dyDescent="0.55000000000000004">
      <c r="A1656" s="9" t="str">
        <f>HYPERLINK("PDF\FOIA-FWS-2020-00724-0001655.pdf","FOIA-FWS-2020-00724-0001655")</f>
        <v>FOIA-FWS-2020-00724-0001655</v>
      </c>
      <c r="B1656" s="3" t="s">
        <v>2977</v>
      </c>
      <c r="C1656" s="3" t="s">
        <v>234</v>
      </c>
      <c r="D1656" s="3" t="s">
        <v>4</v>
      </c>
      <c r="E1656" s="3" t="s">
        <v>2979</v>
      </c>
      <c r="F1656" s="4">
        <v>43566.715277777781</v>
      </c>
      <c r="G1656" s="3"/>
      <c r="H1656" s="3"/>
      <c r="I1656" s="3" t="s">
        <v>7043</v>
      </c>
      <c r="J1656" s="3"/>
      <c r="K1656" s="3"/>
      <c r="L1656" s="5"/>
    </row>
    <row r="1657" spans="1:12" ht="28.8" x14ac:dyDescent="0.55000000000000004">
      <c r="A1657" s="9" t="str">
        <f>HYPERLINK("PDF\FOIA-FWS-2020-00724-0001656.pdf","FOIA-FWS-2020-00724-0001656")</f>
        <v>FOIA-FWS-2020-00724-0001656</v>
      </c>
      <c r="B1657" s="3" t="s">
        <v>2980</v>
      </c>
      <c r="C1657" s="3" t="s">
        <v>3</v>
      </c>
      <c r="D1657" s="3" t="s">
        <v>33</v>
      </c>
      <c r="E1657" s="3" t="s">
        <v>2981</v>
      </c>
      <c r="F1657" s="4">
        <v>43566.857638888891</v>
      </c>
      <c r="G1657" s="3" t="s">
        <v>963</v>
      </c>
      <c r="H1657" s="3" t="s">
        <v>955</v>
      </c>
      <c r="I1657" s="3" t="s">
        <v>7043</v>
      </c>
      <c r="J1657" s="3"/>
      <c r="K1657" s="3"/>
      <c r="L1657" s="5"/>
    </row>
    <row r="1658" spans="1:12" ht="28.8" x14ac:dyDescent="0.55000000000000004">
      <c r="A1658" s="9" t="str">
        <f>HYPERLINK("PDF\FOIA-FWS-2020-00724-0001657.pdf","FOIA-FWS-2020-00724-0001657")</f>
        <v>FOIA-FWS-2020-00724-0001657</v>
      </c>
      <c r="B1658" s="3" t="s">
        <v>2980</v>
      </c>
      <c r="C1658" s="3" t="s">
        <v>234</v>
      </c>
      <c r="D1658" s="3" t="s">
        <v>33</v>
      </c>
      <c r="E1658" s="3" t="s">
        <v>2982</v>
      </c>
      <c r="F1658" s="4">
        <v>43566.857638888891</v>
      </c>
      <c r="G1658" s="3"/>
      <c r="H1658" s="3"/>
      <c r="I1658" s="3" t="s">
        <v>7043</v>
      </c>
      <c r="J1658" s="3"/>
      <c r="K1658" s="3"/>
      <c r="L1658" s="5"/>
    </row>
    <row r="1659" spans="1:12" ht="43.2" x14ac:dyDescent="0.55000000000000004">
      <c r="A1659" s="9" t="str">
        <f>HYPERLINK("PDF\FOIA-FWS-2020-00724-0001658.pdf","FOIA-FWS-2020-00724-0001658")</f>
        <v>FOIA-FWS-2020-00724-0001658</v>
      </c>
      <c r="B1659" s="3" t="s">
        <v>2983</v>
      </c>
      <c r="C1659" s="3" t="s">
        <v>3</v>
      </c>
      <c r="D1659" s="3" t="s">
        <v>33</v>
      </c>
      <c r="E1659" s="3" t="s">
        <v>2985</v>
      </c>
      <c r="F1659" s="4">
        <v>43570.659722222219</v>
      </c>
      <c r="G1659" s="3" t="s">
        <v>963</v>
      </c>
      <c r="H1659" s="3" t="s">
        <v>2984</v>
      </c>
      <c r="I1659" s="3" t="s">
        <v>7043</v>
      </c>
      <c r="J1659" s="3"/>
      <c r="K1659" s="3"/>
      <c r="L1659" s="5"/>
    </row>
    <row r="1660" spans="1:12" ht="28.8" x14ac:dyDescent="0.55000000000000004">
      <c r="A1660" s="9" t="str">
        <f>HYPERLINK("PDF\FOIA-FWS-2020-00724-0001659.pdf","FOIA-FWS-2020-00724-0001659")</f>
        <v>FOIA-FWS-2020-00724-0001659</v>
      </c>
      <c r="B1660" s="3" t="s">
        <v>2986</v>
      </c>
      <c r="C1660" s="3" t="s">
        <v>3</v>
      </c>
      <c r="D1660" s="3" t="s">
        <v>33</v>
      </c>
      <c r="E1660" s="3" t="s">
        <v>2987</v>
      </c>
      <c r="F1660" s="4">
        <v>43570.81527777778</v>
      </c>
      <c r="G1660" s="3" t="s">
        <v>2022</v>
      </c>
      <c r="H1660" s="3" t="s">
        <v>955</v>
      </c>
      <c r="I1660" s="3" t="s">
        <v>7043</v>
      </c>
      <c r="J1660" s="3"/>
      <c r="K1660" s="3"/>
      <c r="L1660" s="5"/>
    </row>
    <row r="1661" spans="1:12" ht="28.8" x14ac:dyDescent="0.55000000000000004">
      <c r="A1661" s="9" t="str">
        <f>HYPERLINK("PDF\FOIA-FWS-2020-00724-0001660.pdf","FOIA-FWS-2020-00724-0001660")</f>
        <v>FOIA-FWS-2020-00724-0001660</v>
      </c>
      <c r="B1661" s="3" t="s">
        <v>2988</v>
      </c>
      <c r="C1661" s="3" t="s">
        <v>3</v>
      </c>
      <c r="D1661" s="3" t="s">
        <v>33</v>
      </c>
      <c r="E1661" s="3" t="s">
        <v>2989</v>
      </c>
      <c r="F1661" s="4">
        <v>43571</v>
      </c>
      <c r="G1661" s="3"/>
      <c r="H1661" s="3"/>
      <c r="I1661" s="3" t="s">
        <v>7043</v>
      </c>
      <c r="J1661" s="3"/>
      <c r="K1661" s="3"/>
      <c r="L1661" s="5"/>
    </row>
    <row r="1662" spans="1:12" ht="28.8" x14ac:dyDescent="0.55000000000000004">
      <c r="A1662" s="9" t="str">
        <f>HYPERLINK("PDF\FOIA-FWS-2020-00724-0001661.pdf","FOIA-FWS-2020-00724-0001661")</f>
        <v>FOIA-FWS-2020-00724-0001661</v>
      </c>
      <c r="B1662" s="3" t="s">
        <v>2990</v>
      </c>
      <c r="C1662" s="3" t="s">
        <v>3</v>
      </c>
      <c r="D1662" s="3" t="s">
        <v>33</v>
      </c>
      <c r="E1662" s="3" t="s">
        <v>2991</v>
      </c>
      <c r="F1662" s="4">
        <v>43571</v>
      </c>
      <c r="G1662" s="3"/>
      <c r="H1662" s="3"/>
      <c r="I1662" s="3" t="s">
        <v>7043</v>
      </c>
      <c r="J1662" s="3"/>
      <c r="K1662" s="3"/>
      <c r="L1662" s="5"/>
    </row>
    <row r="1663" spans="1:12" ht="28.8" x14ac:dyDescent="0.55000000000000004">
      <c r="A1663" s="9" t="str">
        <f>HYPERLINK("PDF\FOIA-FWS-2020-00724-0001662.pdf","FOIA-FWS-2020-00724-0001662")</f>
        <v>FOIA-FWS-2020-00724-0001662</v>
      </c>
      <c r="B1663" s="3" t="s">
        <v>2992</v>
      </c>
      <c r="C1663" s="3" t="s">
        <v>3</v>
      </c>
      <c r="D1663" s="3" t="s">
        <v>33</v>
      </c>
      <c r="E1663" s="3" t="s">
        <v>2993</v>
      </c>
      <c r="F1663" s="4">
        <v>43571</v>
      </c>
      <c r="G1663" s="3"/>
      <c r="H1663" s="3"/>
      <c r="I1663" s="3" t="s">
        <v>7043</v>
      </c>
      <c r="J1663" s="3"/>
      <c r="K1663" s="3"/>
      <c r="L1663" s="5"/>
    </row>
    <row r="1664" spans="1:12" ht="28.8" x14ac:dyDescent="0.55000000000000004">
      <c r="A1664" s="9" t="str">
        <f>HYPERLINK("PDF\FOIA-FWS-2020-00724-0001663.pdf","FOIA-FWS-2020-00724-0001663")</f>
        <v>FOIA-FWS-2020-00724-0001663</v>
      </c>
      <c r="B1664" s="3" t="s">
        <v>2994</v>
      </c>
      <c r="C1664" s="3" t="s">
        <v>3</v>
      </c>
      <c r="D1664" s="3" t="s">
        <v>33</v>
      </c>
      <c r="E1664" s="3" t="s">
        <v>2995</v>
      </c>
      <c r="F1664" s="4">
        <v>43571</v>
      </c>
      <c r="G1664" s="3"/>
      <c r="H1664" s="3"/>
      <c r="I1664" s="3" t="s">
        <v>7043</v>
      </c>
      <c r="J1664" s="3"/>
      <c r="K1664" s="3"/>
      <c r="L1664" s="5"/>
    </row>
    <row r="1665" spans="1:12" ht="28.8" x14ac:dyDescent="0.55000000000000004">
      <c r="A1665" s="9" t="str">
        <f>HYPERLINK("PDF\FOIA-FWS-2020-00724-0001664.pdf","FOIA-FWS-2020-00724-0001664")</f>
        <v>FOIA-FWS-2020-00724-0001664</v>
      </c>
      <c r="B1665" s="3" t="s">
        <v>2996</v>
      </c>
      <c r="C1665" s="3" t="s">
        <v>3</v>
      </c>
      <c r="D1665" s="3" t="s">
        <v>33</v>
      </c>
      <c r="E1665" s="3" t="s">
        <v>2997</v>
      </c>
      <c r="F1665" s="4">
        <v>43571</v>
      </c>
      <c r="G1665" s="3"/>
      <c r="H1665" s="3"/>
      <c r="I1665" s="3" t="s">
        <v>7043</v>
      </c>
      <c r="J1665" s="3"/>
      <c r="K1665" s="3"/>
      <c r="L1665" s="5"/>
    </row>
    <row r="1666" spans="1:12" ht="28.8" x14ac:dyDescent="0.55000000000000004">
      <c r="A1666" s="9" t="str">
        <f>HYPERLINK("PDF\FOIA-FWS-2020-00724-0001665.pdf","FOIA-FWS-2020-00724-0001665")</f>
        <v>FOIA-FWS-2020-00724-0001665</v>
      </c>
      <c r="B1666" s="3" t="s">
        <v>2998</v>
      </c>
      <c r="C1666" s="3" t="s">
        <v>3</v>
      </c>
      <c r="D1666" s="3" t="s">
        <v>33</v>
      </c>
      <c r="E1666" s="3" t="s">
        <v>2999</v>
      </c>
      <c r="F1666" s="4">
        <v>43571</v>
      </c>
      <c r="G1666" s="3"/>
      <c r="H1666" s="3"/>
      <c r="I1666" s="3" t="s">
        <v>7043</v>
      </c>
      <c r="J1666" s="3"/>
      <c r="K1666" s="3"/>
      <c r="L1666" s="5"/>
    </row>
    <row r="1667" spans="1:12" ht="28.8" x14ac:dyDescent="0.55000000000000004">
      <c r="A1667" s="9" t="str">
        <f>HYPERLINK("PDF\FOIA-FWS-2020-00724-0001666.pdf","FOIA-FWS-2020-00724-0001666")</f>
        <v>FOIA-FWS-2020-00724-0001666</v>
      </c>
      <c r="B1667" s="3" t="s">
        <v>3000</v>
      </c>
      <c r="C1667" s="3" t="s">
        <v>3</v>
      </c>
      <c r="D1667" s="3" t="s">
        <v>33</v>
      </c>
      <c r="E1667" s="3" t="s">
        <v>3001</v>
      </c>
      <c r="F1667" s="4">
        <v>43571</v>
      </c>
      <c r="G1667" s="3"/>
      <c r="H1667" s="3"/>
      <c r="I1667" s="3" t="s">
        <v>7043</v>
      </c>
      <c r="J1667" s="3"/>
      <c r="K1667" s="3"/>
      <c r="L1667" s="5"/>
    </row>
    <row r="1668" spans="1:12" ht="28.8" x14ac:dyDescent="0.55000000000000004">
      <c r="A1668" s="9" t="str">
        <f>HYPERLINK("PDF\FOIA-FWS-2020-00724-0001667.pdf","FOIA-FWS-2020-00724-0001667")</f>
        <v>FOIA-FWS-2020-00724-0001667</v>
      </c>
      <c r="B1668" s="3" t="s">
        <v>3002</v>
      </c>
      <c r="C1668" s="3" t="s">
        <v>3</v>
      </c>
      <c r="D1668" s="3" t="s">
        <v>33</v>
      </c>
      <c r="E1668" s="3" t="s">
        <v>3003</v>
      </c>
      <c r="F1668" s="4">
        <v>43571</v>
      </c>
      <c r="G1668" s="3"/>
      <c r="H1668" s="3"/>
      <c r="I1668" s="3" t="s">
        <v>7043</v>
      </c>
      <c r="J1668" s="3"/>
      <c r="K1668" s="3"/>
      <c r="L1668" s="5"/>
    </row>
    <row r="1669" spans="1:12" ht="28.8" x14ac:dyDescent="0.55000000000000004">
      <c r="A1669" s="9" t="str">
        <f>HYPERLINK("PDF\FOIA-FWS-2020-00724-0001668.pdf","FOIA-FWS-2020-00724-0001668")</f>
        <v>FOIA-FWS-2020-00724-0001668</v>
      </c>
      <c r="B1669" s="3" t="s">
        <v>3004</v>
      </c>
      <c r="C1669" s="3" t="s">
        <v>3</v>
      </c>
      <c r="D1669" s="3" t="s">
        <v>33</v>
      </c>
      <c r="E1669" s="3" t="s">
        <v>3005</v>
      </c>
      <c r="F1669" s="4">
        <v>43571</v>
      </c>
      <c r="G1669" s="3"/>
      <c r="H1669" s="3"/>
      <c r="I1669" s="3" t="s">
        <v>7043</v>
      </c>
      <c r="J1669" s="3"/>
      <c r="K1669" s="3"/>
      <c r="L1669" s="5"/>
    </row>
    <row r="1670" spans="1:12" ht="28.8" x14ac:dyDescent="0.55000000000000004">
      <c r="A1670" s="9" t="str">
        <f>HYPERLINK("PDF\FOIA-FWS-2020-00724-0001669.pdf","FOIA-FWS-2020-00724-0001669")</f>
        <v>FOIA-FWS-2020-00724-0001669</v>
      </c>
      <c r="B1670" s="3" t="s">
        <v>3006</v>
      </c>
      <c r="C1670" s="3" t="s">
        <v>3</v>
      </c>
      <c r="D1670" s="3" t="s">
        <v>33</v>
      </c>
      <c r="E1670" s="3" t="s">
        <v>3008</v>
      </c>
      <c r="F1670" s="4">
        <v>43571.456944444442</v>
      </c>
      <c r="G1670" s="3" t="s">
        <v>872</v>
      </c>
      <c r="H1670" s="3" t="s">
        <v>3007</v>
      </c>
      <c r="I1670" s="3" t="s">
        <v>7043</v>
      </c>
      <c r="J1670" s="3"/>
      <c r="K1670" s="3"/>
      <c r="L1670" s="5"/>
    </row>
    <row r="1671" spans="1:12" ht="28.8" x14ac:dyDescent="0.55000000000000004">
      <c r="A1671" s="9" t="str">
        <f>HYPERLINK("PDF\FOIA-FWS-2020-00724-0001670.pdf","FOIA-FWS-2020-00724-0001670")</f>
        <v>FOIA-FWS-2020-00724-0001670</v>
      </c>
      <c r="B1671" s="3" t="s">
        <v>3009</v>
      </c>
      <c r="C1671" s="3" t="s">
        <v>3</v>
      </c>
      <c r="D1671" s="3" t="s">
        <v>33</v>
      </c>
      <c r="E1671" s="3" t="s">
        <v>3010</v>
      </c>
      <c r="F1671" s="4">
        <v>43571.784722222219</v>
      </c>
      <c r="G1671" s="3" t="s">
        <v>955</v>
      </c>
      <c r="H1671" s="3" t="s">
        <v>963</v>
      </c>
      <c r="I1671" s="3" t="s">
        <v>7043</v>
      </c>
      <c r="J1671" s="3"/>
      <c r="K1671" s="3"/>
      <c r="L1671" s="5"/>
    </row>
    <row r="1672" spans="1:12" ht="28.8" x14ac:dyDescent="0.55000000000000004">
      <c r="A1672" s="9" t="str">
        <f>HYPERLINK("PDF\FOIA-FWS-2020-00724-0001671.pdf","FOIA-FWS-2020-00724-0001671")</f>
        <v>FOIA-FWS-2020-00724-0001671</v>
      </c>
      <c r="B1672" s="3" t="s">
        <v>3009</v>
      </c>
      <c r="C1672" s="3" t="s">
        <v>234</v>
      </c>
      <c r="D1672" s="3" t="s">
        <v>33</v>
      </c>
      <c r="E1672" s="3" t="s">
        <v>3011</v>
      </c>
      <c r="F1672" s="4">
        <v>43571.784722222219</v>
      </c>
      <c r="G1672" s="3"/>
      <c r="H1672" s="3"/>
      <c r="I1672" s="3" t="s">
        <v>7043</v>
      </c>
      <c r="J1672" s="3"/>
      <c r="K1672" s="3"/>
      <c r="L1672" s="5"/>
    </row>
    <row r="1673" spans="1:12" ht="28.8" x14ac:dyDescent="0.55000000000000004">
      <c r="A1673" s="9" t="str">
        <f>HYPERLINK("PDF\FOIA-FWS-2020-00724-0001672.pdf","FOIA-FWS-2020-00724-0001672")</f>
        <v>FOIA-FWS-2020-00724-0001672</v>
      </c>
      <c r="B1673" s="3" t="s">
        <v>3012</v>
      </c>
      <c r="C1673" s="3" t="s">
        <v>3</v>
      </c>
      <c r="D1673" s="3" t="s">
        <v>33</v>
      </c>
      <c r="E1673" s="3" t="s">
        <v>3013</v>
      </c>
      <c r="F1673" s="4">
        <v>43571.787499999999</v>
      </c>
      <c r="G1673" s="3" t="s">
        <v>963</v>
      </c>
      <c r="H1673" s="3" t="s">
        <v>955</v>
      </c>
      <c r="I1673" s="3" t="s">
        <v>7043</v>
      </c>
      <c r="J1673" s="3"/>
      <c r="K1673" s="3"/>
      <c r="L1673" s="5"/>
    </row>
    <row r="1674" spans="1:12" ht="28.8" x14ac:dyDescent="0.55000000000000004">
      <c r="A1674" s="9" t="str">
        <f>HYPERLINK("PDF\FOIA-FWS-2020-00724-0001673.pdf","FOIA-FWS-2020-00724-0001673")</f>
        <v>FOIA-FWS-2020-00724-0001673</v>
      </c>
      <c r="B1674" s="3" t="s">
        <v>3014</v>
      </c>
      <c r="C1674" s="3" t="s">
        <v>3</v>
      </c>
      <c r="D1674" s="3" t="s">
        <v>33</v>
      </c>
      <c r="E1674" s="3" t="s">
        <v>3015</v>
      </c>
      <c r="F1674" s="4">
        <v>43571.823611111111</v>
      </c>
      <c r="G1674" s="3" t="s">
        <v>963</v>
      </c>
      <c r="H1674" s="3" t="s">
        <v>945</v>
      </c>
      <c r="I1674" s="3" t="s">
        <v>7043</v>
      </c>
      <c r="J1674" s="3"/>
      <c r="K1674" s="3"/>
      <c r="L1674" s="5"/>
    </row>
    <row r="1675" spans="1:12" ht="28.8" x14ac:dyDescent="0.55000000000000004">
      <c r="A1675" s="9" t="str">
        <f>HYPERLINK("PDF\FOIA-FWS-2020-00724-0001674.pdf","FOIA-FWS-2020-00724-0001674")</f>
        <v>FOIA-FWS-2020-00724-0001674</v>
      </c>
      <c r="B1675" s="3" t="s">
        <v>3014</v>
      </c>
      <c r="C1675" s="3" t="s">
        <v>234</v>
      </c>
      <c r="D1675" s="3" t="s">
        <v>33</v>
      </c>
      <c r="E1675" s="3" t="s">
        <v>3016</v>
      </c>
      <c r="F1675" s="4">
        <v>43571.823611111111</v>
      </c>
      <c r="G1675" s="3"/>
      <c r="H1675" s="3"/>
      <c r="I1675" s="3" t="s">
        <v>7043</v>
      </c>
      <c r="J1675" s="3"/>
      <c r="K1675" s="3"/>
      <c r="L1675" s="5"/>
    </row>
    <row r="1676" spans="1:12" ht="28.8" x14ac:dyDescent="0.55000000000000004">
      <c r="A1676" s="9" t="str">
        <f>HYPERLINK("PDF\FOIA-FWS-2020-00724-0001675.pdf","FOIA-FWS-2020-00724-0001675")</f>
        <v>FOIA-FWS-2020-00724-0001675</v>
      </c>
      <c r="B1676" s="3" t="s">
        <v>3017</v>
      </c>
      <c r="C1676" s="3" t="s">
        <v>3</v>
      </c>
      <c r="D1676" s="3" t="s">
        <v>33</v>
      </c>
      <c r="E1676" s="3" t="s">
        <v>3018</v>
      </c>
      <c r="F1676" s="4">
        <v>43572.353472222225</v>
      </c>
      <c r="G1676" s="3" t="s">
        <v>893</v>
      </c>
      <c r="H1676" s="3" t="s">
        <v>872</v>
      </c>
      <c r="I1676" s="3" t="s">
        <v>7043</v>
      </c>
      <c r="J1676" s="3"/>
      <c r="K1676" s="3"/>
      <c r="L1676" s="5"/>
    </row>
    <row r="1677" spans="1:12" ht="43.2" x14ac:dyDescent="0.55000000000000004">
      <c r="A1677" s="9" t="str">
        <f>HYPERLINK("PDF\FOIA-FWS-2020-00724-0001676.pdf","FOIA-FWS-2020-00724-0001676")</f>
        <v>FOIA-FWS-2020-00724-0001676</v>
      </c>
      <c r="B1677" s="3" t="s">
        <v>3019</v>
      </c>
      <c r="C1677" s="3" t="s">
        <v>3</v>
      </c>
      <c r="D1677" s="3" t="s">
        <v>33</v>
      </c>
      <c r="E1677" s="3" t="s">
        <v>3020</v>
      </c>
      <c r="F1677" s="4">
        <v>43572.52847222222</v>
      </c>
      <c r="G1677" s="3" t="s">
        <v>2166</v>
      </c>
      <c r="H1677" s="3" t="s">
        <v>7065</v>
      </c>
      <c r="I1677" s="3" t="s">
        <v>7043</v>
      </c>
      <c r="J1677" s="3"/>
      <c r="K1677" s="3"/>
      <c r="L1677" s="5"/>
    </row>
    <row r="1678" spans="1:12" ht="28.8" x14ac:dyDescent="0.55000000000000004">
      <c r="A1678" s="9" t="str">
        <f>HYPERLINK("PDF\FOIA-FWS-2020-00724-0001677.pdf","FOIA-FWS-2020-00724-0001677")</f>
        <v>FOIA-FWS-2020-00724-0001677</v>
      </c>
      <c r="B1678" s="3" t="s">
        <v>3021</v>
      </c>
      <c r="C1678" s="3" t="s">
        <v>3</v>
      </c>
      <c r="D1678" s="3" t="s">
        <v>38</v>
      </c>
      <c r="E1678" s="3" t="s">
        <v>3022</v>
      </c>
      <c r="F1678" s="4">
        <v>43574</v>
      </c>
      <c r="G1678" s="3"/>
      <c r="H1678" s="3"/>
      <c r="I1678" s="3" t="s">
        <v>7043</v>
      </c>
      <c r="J1678" s="3"/>
      <c r="K1678" s="3"/>
      <c r="L1678" s="5"/>
    </row>
    <row r="1679" spans="1:12" ht="28.8" x14ac:dyDescent="0.55000000000000004">
      <c r="A1679" s="9" t="str">
        <f>HYPERLINK("PDF\FOIA-FWS-2020-00724-0001678.pdf","FOIA-FWS-2020-00724-0001678")</f>
        <v>FOIA-FWS-2020-00724-0001678</v>
      </c>
      <c r="B1679" s="3" t="s">
        <v>3023</v>
      </c>
      <c r="C1679" s="3" t="s">
        <v>3</v>
      </c>
      <c r="D1679" s="3" t="s">
        <v>4</v>
      </c>
      <c r="E1679" s="3" t="s">
        <v>3024</v>
      </c>
      <c r="F1679" s="4">
        <v>43574</v>
      </c>
      <c r="G1679" s="3"/>
      <c r="H1679" s="3"/>
      <c r="I1679" s="3" t="s">
        <v>7043</v>
      </c>
      <c r="J1679" s="3"/>
      <c r="K1679" s="3"/>
      <c r="L1679" s="5"/>
    </row>
    <row r="1680" spans="1:12" ht="28.8" x14ac:dyDescent="0.55000000000000004">
      <c r="A1680" s="9" t="str">
        <f>HYPERLINK("PDF\FOIA-FWS-2020-00724-0001679.pdf","FOIA-FWS-2020-00724-0001679")</f>
        <v>FOIA-FWS-2020-00724-0001679</v>
      </c>
      <c r="B1680" s="3" t="s">
        <v>3025</v>
      </c>
      <c r="C1680" s="3" t="s">
        <v>3</v>
      </c>
      <c r="D1680" s="3" t="s">
        <v>33</v>
      </c>
      <c r="E1680" s="3" t="s">
        <v>3027</v>
      </c>
      <c r="F1680" s="4">
        <v>43574.479861111111</v>
      </c>
      <c r="G1680" s="3" t="s">
        <v>2211</v>
      </c>
      <c r="H1680" s="3" t="s">
        <v>3026</v>
      </c>
      <c r="I1680" s="3" t="s">
        <v>7043</v>
      </c>
      <c r="J1680" s="3"/>
      <c r="K1680" s="3"/>
      <c r="L1680" s="5"/>
    </row>
    <row r="1681" spans="1:12" ht="28.8" x14ac:dyDescent="0.55000000000000004">
      <c r="A1681" s="9" t="str">
        <f>HYPERLINK("PDF\FOIA-FWS-2020-00724-0001680.pdf","FOIA-FWS-2020-00724-0001680")</f>
        <v>FOIA-FWS-2020-00724-0001680</v>
      </c>
      <c r="B1681" s="3" t="s">
        <v>3025</v>
      </c>
      <c r="C1681" s="3" t="s">
        <v>234</v>
      </c>
      <c r="D1681" s="3" t="s">
        <v>160</v>
      </c>
      <c r="E1681" s="3" t="s">
        <v>3028</v>
      </c>
      <c r="F1681" s="4">
        <v>43574.479861111111</v>
      </c>
      <c r="G1681" s="3"/>
      <c r="H1681" s="3"/>
      <c r="I1681" s="3" t="s">
        <v>7043</v>
      </c>
      <c r="J1681" s="3"/>
      <c r="K1681" s="3"/>
      <c r="L1681" s="5"/>
    </row>
    <row r="1682" spans="1:12" ht="28.8" x14ac:dyDescent="0.55000000000000004">
      <c r="A1682" s="9" t="str">
        <f>HYPERLINK("PDF\FOIA-FWS-2020-00724-0001681.pdf","FOIA-FWS-2020-00724-0001681")</f>
        <v>FOIA-FWS-2020-00724-0001681</v>
      </c>
      <c r="B1682" s="3" t="s">
        <v>3025</v>
      </c>
      <c r="C1682" s="3" t="s">
        <v>234</v>
      </c>
      <c r="D1682" s="3" t="s">
        <v>160</v>
      </c>
      <c r="E1682" s="3" t="s">
        <v>3029</v>
      </c>
      <c r="F1682" s="4">
        <v>43574.479861111111</v>
      </c>
      <c r="G1682" s="3"/>
      <c r="H1682" s="3"/>
      <c r="I1682" s="3" t="s">
        <v>7043</v>
      </c>
      <c r="J1682" s="3"/>
      <c r="K1682" s="3"/>
      <c r="L1682" s="5"/>
    </row>
    <row r="1683" spans="1:12" ht="43.2" x14ac:dyDescent="0.55000000000000004">
      <c r="A1683" s="9" t="str">
        <f>HYPERLINK("PDF\FOIA-FWS-2020-00724-0001682.pdf","FOIA-FWS-2020-00724-0001682")</f>
        <v>FOIA-FWS-2020-00724-0001682</v>
      </c>
      <c r="B1683" s="3" t="s">
        <v>3030</v>
      </c>
      <c r="C1683" s="3" t="s">
        <v>3</v>
      </c>
      <c r="D1683" s="3" t="s">
        <v>33</v>
      </c>
      <c r="E1683" s="3" t="s">
        <v>3031</v>
      </c>
      <c r="F1683" s="4">
        <v>43574.504861111112</v>
      </c>
      <c r="G1683" s="3" t="s">
        <v>945</v>
      </c>
      <c r="H1683" s="3" t="s">
        <v>872</v>
      </c>
      <c r="I1683" s="3" t="s">
        <v>7043</v>
      </c>
      <c r="J1683" s="3"/>
      <c r="K1683" s="3"/>
      <c r="L1683" s="5"/>
    </row>
    <row r="1684" spans="1:12" ht="28.8" x14ac:dyDescent="0.55000000000000004">
      <c r="A1684" s="9" t="str">
        <f>HYPERLINK("PDF\FOIA-FWS-2020-00724-0001683.pdf","FOIA-FWS-2020-00724-0001683")</f>
        <v>FOIA-FWS-2020-00724-0001683</v>
      </c>
      <c r="B1684" s="3" t="s">
        <v>3032</v>
      </c>
      <c r="C1684" s="3" t="s">
        <v>3</v>
      </c>
      <c r="D1684" s="3" t="s">
        <v>160</v>
      </c>
      <c r="E1684" s="3" t="s">
        <v>3033</v>
      </c>
      <c r="F1684" s="4">
        <v>43577</v>
      </c>
      <c r="G1684" s="3"/>
      <c r="H1684" s="3"/>
      <c r="I1684" s="3" t="s">
        <v>7043</v>
      </c>
      <c r="J1684" s="3"/>
      <c r="K1684" s="3"/>
      <c r="L1684" s="5"/>
    </row>
    <row r="1685" spans="1:12" ht="28.8" x14ac:dyDescent="0.55000000000000004">
      <c r="A1685" s="9" t="str">
        <f>HYPERLINK("PDF\FOIA-FWS-2020-00724-0001684.pdf","FOIA-FWS-2020-00724-0001684")</f>
        <v>FOIA-FWS-2020-00724-0001684</v>
      </c>
      <c r="B1685" s="3" t="s">
        <v>3034</v>
      </c>
      <c r="C1685" s="3" t="s">
        <v>3</v>
      </c>
      <c r="D1685" s="3" t="s">
        <v>160</v>
      </c>
      <c r="E1685" s="3" t="s">
        <v>3035</v>
      </c>
      <c r="F1685" s="4">
        <v>43577</v>
      </c>
      <c r="G1685" s="3"/>
      <c r="H1685" s="3"/>
      <c r="I1685" s="3" t="s">
        <v>7043</v>
      </c>
      <c r="J1685" s="3"/>
      <c r="K1685" s="3"/>
      <c r="L1685" s="5"/>
    </row>
    <row r="1686" spans="1:12" ht="28.8" x14ac:dyDescent="0.55000000000000004">
      <c r="A1686" s="9" t="str">
        <f>HYPERLINK("PDF\FOIA-FWS-2020-00724-0001685.pdf","FOIA-FWS-2020-00724-0001685")</f>
        <v>FOIA-FWS-2020-00724-0001685</v>
      </c>
      <c r="B1686" s="3" t="s">
        <v>3036</v>
      </c>
      <c r="C1686" s="3" t="s">
        <v>3</v>
      </c>
      <c r="D1686" s="3" t="s">
        <v>33</v>
      </c>
      <c r="E1686" s="3" t="s">
        <v>3037</v>
      </c>
      <c r="F1686" s="4">
        <v>43577.611111111109</v>
      </c>
      <c r="G1686" s="3" t="s">
        <v>2022</v>
      </c>
      <c r="H1686" s="3" t="s">
        <v>899</v>
      </c>
      <c r="I1686" s="3" t="s">
        <v>7043</v>
      </c>
      <c r="J1686" s="3"/>
      <c r="K1686" s="3"/>
      <c r="L1686" s="5"/>
    </row>
    <row r="1687" spans="1:12" ht="43.2" x14ac:dyDescent="0.55000000000000004">
      <c r="A1687" s="9" t="str">
        <f>HYPERLINK("PDF\FOIA-FWS-2020-00724-0001686.pdf","FOIA-FWS-2020-00724-0001686")</f>
        <v>FOIA-FWS-2020-00724-0001686</v>
      </c>
      <c r="B1687" s="3" t="s">
        <v>3038</v>
      </c>
      <c r="C1687" s="3" t="s">
        <v>3</v>
      </c>
      <c r="D1687" s="3" t="s">
        <v>33</v>
      </c>
      <c r="E1687" s="3" t="s">
        <v>3040</v>
      </c>
      <c r="F1687" s="4">
        <v>43577.786805555559</v>
      </c>
      <c r="G1687" s="3" t="s">
        <v>955</v>
      </c>
      <c r="H1687" s="3" t="s">
        <v>3039</v>
      </c>
      <c r="I1687" s="3" t="s">
        <v>7043</v>
      </c>
      <c r="J1687" s="3"/>
      <c r="K1687" s="3"/>
      <c r="L1687" s="5"/>
    </row>
    <row r="1688" spans="1:12" ht="28.8" x14ac:dyDescent="0.55000000000000004">
      <c r="A1688" s="9" t="str">
        <f>HYPERLINK("PDF\FOIA-FWS-2020-00724-0001687.pdf","FOIA-FWS-2020-00724-0001687")</f>
        <v>FOIA-FWS-2020-00724-0001687</v>
      </c>
      <c r="B1688" s="3" t="s">
        <v>3041</v>
      </c>
      <c r="C1688" s="3" t="s">
        <v>3</v>
      </c>
      <c r="D1688" s="3" t="s">
        <v>33</v>
      </c>
      <c r="E1688" s="3" t="s">
        <v>3042</v>
      </c>
      <c r="F1688" s="4">
        <v>43578</v>
      </c>
      <c r="G1688" s="3"/>
      <c r="H1688" s="3"/>
      <c r="I1688" s="3" t="s">
        <v>7043</v>
      </c>
      <c r="J1688" s="3"/>
      <c r="K1688" s="3"/>
      <c r="L1688" s="5"/>
    </row>
    <row r="1689" spans="1:12" ht="28.8" x14ac:dyDescent="0.55000000000000004">
      <c r="A1689" s="9" t="str">
        <f>HYPERLINK("PDF\FOIA-FWS-2020-00724-0001688.pdf","FOIA-FWS-2020-00724-0001688")</f>
        <v>FOIA-FWS-2020-00724-0001688</v>
      </c>
      <c r="B1689" s="3" t="s">
        <v>3043</v>
      </c>
      <c r="C1689" s="3" t="s">
        <v>3</v>
      </c>
      <c r="D1689" s="3" t="s">
        <v>33</v>
      </c>
      <c r="E1689" s="3" t="s">
        <v>3044</v>
      </c>
      <c r="F1689" s="4">
        <v>43578</v>
      </c>
      <c r="G1689" s="3"/>
      <c r="H1689" s="3"/>
      <c r="I1689" s="3" t="s">
        <v>7043</v>
      </c>
      <c r="J1689" s="3"/>
      <c r="K1689" s="3"/>
      <c r="L1689" s="5"/>
    </row>
    <row r="1690" spans="1:12" ht="28.8" x14ac:dyDescent="0.55000000000000004">
      <c r="A1690" s="9" t="str">
        <f>HYPERLINK("PDF\FOIA-FWS-2020-00724-0001689.pdf","FOIA-FWS-2020-00724-0001689")</f>
        <v>FOIA-FWS-2020-00724-0001689</v>
      </c>
      <c r="B1690" s="3" t="s">
        <v>3045</v>
      </c>
      <c r="C1690" s="3" t="s">
        <v>3</v>
      </c>
      <c r="D1690" s="3" t="s">
        <v>33</v>
      </c>
      <c r="E1690" s="3" t="s">
        <v>3044</v>
      </c>
      <c r="F1690" s="4">
        <v>43578</v>
      </c>
      <c r="G1690" s="3"/>
      <c r="H1690" s="3"/>
      <c r="I1690" s="3" t="s">
        <v>7043</v>
      </c>
      <c r="J1690" s="3"/>
      <c r="K1690" s="3"/>
      <c r="L1690" s="5"/>
    </row>
    <row r="1691" spans="1:12" ht="28.8" x14ac:dyDescent="0.55000000000000004">
      <c r="A1691" s="9" t="str">
        <f>HYPERLINK("PDF\FOIA-FWS-2020-00724-0001690.pdf","FOIA-FWS-2020-00724-0001690")</f>
        <v>FOIA-FWS-2020-00724-0001690</v>
      </c>
      <c r="B1691" s="3" t="s">
        <v>3046</v>
      </c>
      <c r="C1691" s="3" t="s">
        <v>3</v>
      </c>
      <c r="D1691" s="3" t="s">
        <v>33</v>
      </c>
      <c r="E1691" s="3" t="s">
        <v>3047</v>
      </c>
      <c r="F1691" s="4">
        <v>43578</v>
      </c>
      <c r="G1691" s="3"/>
      <c r="H1691" s="3"/>
      <c r="I1691" s="3" t="s">
        <v>7043</v>
      </c>
      <c r="J1691" s="3"/>
      <c r="K1691" s="3"/>
      <c r="L1691" s="5"/>
    </row>
    <row r="1692" spans="1:12" ht="28.8" x14ac:dyDescent="0.55000000000000004">
      <c r="A1692" s="9" t="str">
        <f>HYPERLINK("PDF\FOIA-FWS-2020-00724-0001691.pdf","FOIA-FWS-2020-00724-0001691")</f>
        <v>FOIA-FWS-2020-00724-0001691</v>
      </c>
      <c r="B1692" s="3" t="s">
        <v>3048</v>
      </c>
      <c r="C1692" s="3" t="s">
        <v>3</v>
      </c>
      <c r="D1692" s="3" t="s">
        <v>33</v>
      </c>
      <c r="E1692" s="3" t="s">
        <v>3049</v>
      </c>
      <c r="F1692" s="4">
        <v>43578</v>
      </c>
      <c r="G1692" s="3"/>
      <c r="H1692" s="3"/>
      <c r="I1692" s="3" t="s">
        <v>7043</v>
      </c>
      <c r="J1692" s="3"/>
      <c r="K1692" s="3"/>
      <c r="L1692" s="5"/>
    </row>
    <row r="1693" spans="1:12" ht="28.8" x14ac:dyDescent="0.55000000000000004">
      <c r="A1693" s="9" t="str">
        <f>HYPERLINK("PDF\FOIA-FWS-2020-00724-0001692.pdf","FOIA-FWS-2020-00724-0001692")</f>
        <v>FOIA-FWS-2020-00724-0001692</v>
      </c>
      <c r="B1693" s="3" t="s">
        <v>3050</v>
      </c>
      <c r="C1693" s="3" t="s">
        <v>3</v>
      </c>
      <c r="D1693" s="3" t="s">
        <v>33</v>
      </c>
      <c r="E1693" s="3" t="s">
        <v>3051</v>
      </c>
      <c r="F1693" s="4">
        <v>43578</v>
      </c>
      <c r="G1693" s="3"/>
      <c r="H1693" s="3"/>
      <c r="I1693" s="3" t="s">
        <v>7043</v>
      </c>
      <c r="J1693" s="3"/>
      <c r="K1693" s="3"/>
      <c r="L1693" s="5"/>
    </row>
    <row r="1694" spans="1:12" ht="28.8" x14ac:dyDescent="0.55000000000000004">
      <c r="A1694" s="9" t="str">
        <f>HYPERLINK("PDF\FOIA-FWS-2020-00724-0001693.pdf","FOIA-FWS-2020-00724-0001693")</f>
        <v>FOIA-FWS-2020-00724-0001693</v>
      </c>
      <c r="B1694" s="3" t="s">
        <v>3052</v>
      </c>
      <c r="C1694" s="3" t="s">
        <v>3</v>
      </c>
      <c r="D1694" s="3" t="s">
        <v>33</v>
      </c>
      <c r="E1694" s="3" t="s">
        <v>3053</v>
      </c>
      <c r="F1694" s="4">
        <v>43578</v>
      </c>
      <c r="G1694" s="3"/>
      <c r="H1694" s="3"/>
      <c r="I1694" s="3" t="s">
        <v>7043</v>
      </c>
      <c r="J1694" s="3"/>
      <c r="K1694" s="3"/>
      <c r="L1694" s="5"/>
    </row>
    <row r="1695" spans="1:12" ht="28.8" x14ac:dyDescent="0.55000000000000004">
      <c r="A1695" s="9" t="str">
        <f>HYPERLINK("PDF\FOIA-FWS-2020-00724-0001694.pdf","FOIA-FWS-2020-00724-0001694")</f>
        <v>FOIA-FWS-2020-00724-0001694</v>
      </c>
      <c r="B1695" s="3" t="s">
        <v>3054</v>
      </c>
      <c r="C1695" s="3" t="s">
        <v>3</v>
      </c>
      <c r="D1695" s="3" t="s">
        <v>33</v>
      </c>
      <c r="E1695" s="3" t="s">
        <v>3055</v>
      </c>
      <c r="F1695" s="4">
        <v>43578.469444444447</v>
      </c>
      <c r="G1695" s="3" t="s">
        <v>963</v>
      </c>
      <c r="H1695" s="3" t="s">
        <v>955</v>
      </c>
      <c r="I1695" s="3" t="s">
        <v>7043</v>
      </c>
      <c r="J1695" s="3"/>
      <c r="K1695" s="3"/>
      <c r="L1695" s="5"/>
    </row>
    <row r="1696" spans="1:12" ht="28.8" x14ac:dyDescent="0.55000000000000004">
      <c r="A1696" s="9" t="str">
        <f>HYPERLINK("PDF\FOIA-FWS-2020-00724-0001695.pdf","FOIA-FWS-2020-00724-0001695")</f>
        <v>FOIA-FWS-2020-00724-0001695</v>
      </c>
      <c r="B1696" s="3" t="s">
        <v>3056</v>
      </c>
      <c r="C1696" s="3" t="s">
        <v>3</v>
      </c>
      <c r="D1696" s="3" t="s">
        <v>33</v>
      </c>
      <c r="E1696" s="3" t="s">
        <v>3057</v>
      </c>
      <c r="F1696" s="4">
        <v>43578.486805555556</v>
      </c>
      <c r="G1696" s="3" t="s">
        <v>963</v>
      </c>
      <c r="H1696" s="3" t="s">
        <v>2022</v>
      </c>
      <c r="I1696" s="3" t="s">
        <v>7043</v>
      </c>
      <c r="J1696" s="3"/>
      <c r="K1696" s="3"/>
      <c r="L1696" s="5"/>
    </row>
    <row r="1697" spans="1:12" ht="28.8" x14ac:dyDescent="0.55000000000000004">
      <c r="A1697" s="9" t="str">
        <f>HYPERLINK("PDF\FOIA-FWS-2020-00724-0001696.pdf","FOIA-FWS-2020-00724-0001696")</f>
        <v>FOIA-FWS-2020-00724-0001696</v>
      </c>
      <c r="B1697" s="3" t="s">
        <v>3058</v>
      </c>
      <c r="C1697" s="3" t="s">
        <v>3</v>
      </c>
      <c r="D1697" s="3" t="s">
        <v>33</v>
      </c>
      <c r="E1697" s="3" t="s">
        <v>3059</v>
      </c>
      <c r="F1697" s="4">
        <v>43578.489583333336</v>
      </c>
      <c r="G1697" s="3" t="s">
        <v>963</v>
      </c>
      <c r="H1697" s="3" t="s">
        <v>955</v>
      </c>
      <c r="I1697" s="3" t="s">
        <v>7043</v>
      </c>
      <c r="J1697" s="3"/>
      <c r="K1697" s="3"/>
      <c r="L1697" s="5"/>
    </row>
    <row r="1698" spans="1:12" ht="28.8" x14ac:dyDescent="0.55000000000000004">
      <c r="A1698" s="9" t="str">
        <f>HYPERLINK("PDF\FOIA-FWS-2020-00724-0001697.pdf","FOIA-FWS-2020-00724-0001697")</f>
        <v>FOIA-FWS-2020-00724-0001697</v>
      </c>
      <c r="B1698" s="3" t="s">
        <v>3060</v>
      </c>
      <c r="C1698" s="3" t="s">
        <v>3</v>
      </c>
      <c r="D1698" s="3" t="s">
        <v>33</v>
      </c>
      <c r="E1698" s="3" t="s">
        <v>3062</v>
      </c>
      <c r="F1698" s="4">
        <v>43578.491666666669</v>
      </c>
      <c r="G1698" s="3" t="s">
        <v>963</v>
      </c>
      <c r="H1698" s="3" t="s">
        <v>3061</v>
      </c>
      <c r="I1698" s="3" t="s">
        <v>7043</v>
      </c>
      <c r="J1698" s="3"/>
      <c r="K1698" s="3"/>
      <c r="L1698" s="5"/>
    </row>
    <row r="1699" spans="1:12" ht="28.8" x14ac:dyDescent="0.55000000000000004">
      <c r="A1699" s="9" t="str">
        <f>HYPERLINK("PDF\FOIA-FWS-2020-00724-0001698.pdf","FOIA-FWS-2020-00724-0001698")</f>
        <v>FOIA-FWS-2020-00724-0001698</v>
      </c>
      <c r="B1699" s="3" t="s">
        <v>3063</v>
      </c>
      <c r="C1699" s="3" t="s">
        <v>3</v>
      </c>
      <c r="D1699" s="3" t="s">
        <v>33</v>
      </c>
      <c r="E1699" s="3" t="s">
        <v>3064</v>
      </c>
      <c r="F1699" s="4">
        <v>43578.508333333331</v>
      </c>
      <c r="G1699" s="3" t="s">
        <v>872</v>
      </c>
      <c r="H1699" s="3" t="s">
        <v>963</v>
      </c>
      <c r="I1699" s="3" t="s">
        <v>7043</v>
      </c>
      <c r="J1699" s="3"/>
      <c r="K1699" s="3"/>
      <c r="L1699" s="5"/>
    </row>
    <row r="1700" spans="1:12" ht="28.8" x14ac:dyDescent="0.55000000000000004">
      <c r="A1700" s="9" t="str">
        <f>HYPERLINK("PDF\FOIA-FWS-2020-00724-0001699.pdf","FOIA-FWS-2020-00724-0001699")</f>
        <v>FOIA-FWS-2020-00724-0001699</v>
      </c>
      <c r="B1700" s="3" t="s">
        <v>3065</v>
      </c>
      <c r="C1700" s="3" t="s">
        <v>3</v>
      </c>
      <c r="D1700" s="3" t="s">
        <v>33</v>
      </c>
      <c r="E1700" s="3" t="s">
        <v>3067</v>
      </c>
      <c r="F1700" s="4">
        <v>43578.510416666664</v>
      </c>
      <c r="G1700" s="3" t="s">
        <v>872</v>
      </c>
      <c r="H1700" s="3" t="s">
        <v>3066</v>
      </c>
      <c r="I1700" s="3" t="s">
        <v>7043</v>
      </c>
      <c r="J1700" s="3"/>
      <c r="K1700" s="3"/>
      <c r="L1700" s="5"/>
    </row>
    <row r="1701" spans="1:12" ht="28.8" x14ac:dyDescent="0.55000000000000004">
      <c r="A1701" s="9" t="str">
        <f>HYPERLINK("PDF\FOIA-FWS-2020-00724-0001700.pdf","FOIA-FWS-2020-00724-0001700")</f>
        <v>FOIA-FWS-2020-00724-0001700</v>
      </c>
      <c r="B1701" s="3" t="s">
        <v>3068</v>
      </c>
      <c r="C1701" s="3" t="s">
        <v>3</v>
      </c>
      <c r="D1701" s="3" t="s">
        <v>33</v>
      </c>
      <c r="E1701" s="3" t="s">
        <v>3069</v>
      </c>
      <c r="F1701" s="4">
        <v>43578.532638888886</v>
      </c>
      <c r="G1701" s="3" t="s">
        <v>963</v>
      </c>
      <c r="H1701" s="3" t="s">
        <v>945</v>
      </c>
      <c r="I1701" s="3" t="s">
        <v>7043</v>
      </c>
      <c r="J1701" s="3"/>
      <c r="K1701" s="3"/>
      <c r="L1701" s="5"/>
    </row>
    <row r="1702" spans="1:12" ht="28.8" x14ac:dyDescent="0.55000000000000004">
      <c r="A1702" s="9" t="str">
        <f>HYPERLINK("PDF\FOIA-FWS-2020-00724-0001701.pdf","FOIA-FWS-2020-00724-0001701")</f>
        <v>FOIA-FWS-2020-00724-0001701</v>
      </c>
      <c r="B1702" s="3" t="s">
        <v>3070</v>
      </c>
      <c r="C1702" s="3" t="s">
        <v>3</v>
      </c>
      <c r="D1702" s="3" t="s">
        <v>33</v>
      </c>
      <c r="E1702" s="3" t="s">
        <v>3071</v>
      </c>
      <c r="F1702" s="4">
        <v>43579.426388888889</v>
      </c>
      <c r="G1702" s="3" t="s">
        <v>963</v>
      </c>
      <c r="H1702" s="3" t="s">
        <v>872</v>
      </c>
      <c r="I1702" s="3" t="s">
        <v>7043</v>
      </c>
      <c r="J1702" s="3"/>
      <c r="K1702" s="3"/>
      <c r="L1702" s="5"/>
    </row>
    <row r="1703" spans="1:12" ht="28.8" x14ac:dyDescent="0.55000000000000004">
      <c r="A1703" s="9" t="str">
        <f>HYPERLINK("PDF\FOIA-FWS-2020-00724-0001702.pdf","FOIA-FWS-2020-00724-0001702")</f>
        <v>FOIA-FWS-2020-00724-0001702</v>
      </c>
      <c r="B1703" s="3" t="s">
        <v>3070</v>
      </c>
      <c r="C1703" s="3" t="s">
        <v>234</v>
      </c>
      <c r="D1703" s="3" t="s">
        <v>33</v>
      </c>
      <c r="E1703" s="3" t="s">
        <v>3072</v>
      </c>
      <c r="F1703" s="4">
        <v>43579.426388888889</v>
      </c>
      <c r="G1703" s="3"/>
      <c r="H1703" s="3"/>
      <c r="I1703" s="3" t="s">
        <v>7043</v>
      </c>
      <c r="J1703" s="3"/>
      <c r="K1703" s="3"/>
      <c r="L1703" s="5"/>
    </row>
    <row r="1704" spans="1:12" ht="28.8" x14ac:dyDescent="0.55000000000000004">
      <c r="A1704" s="9" t="str">
        <f>HYPERLINK("PDF\FOIA-FWS-2020-00724-0001703.pdf","FOIA-FWS-2020-00724-0001703")</f>
        <v>FOIA-FWS-2020-00724-0001703</v>
      </c>
      <c r="B1704" s="3" t="s">
        <v>3073</v>
      </c>
      <c r="C1704" s="3" t="s">
        <v>3</v>
      </c>
      <c r="D1704" s="3" t="s">
        <v>33</v>
      </c>
      <c r="E1704" s="3" t="s">
        <v>3074</v>
      </c>
      <c r="F1704" s="4">
        <v>43579.435416666667</v>
      </c>
      <c r="G1704" s="3" t="s">
        <v>963</v>
      </c>
      <c r="H1704" s="3" t="s">
        <v>1012</v>
      </c>
      <c r="I1704" s="3" t="s">
        <v>7043</v>
      </c>
      <c r="J1704" s="3"/>
      <c r="K1704" s="3"/>
      <c r="L1704" s="5"/>
    </row>
    <row r="1705" spans="1:12" ht="28.8" x14ac:dyDescent="0.55000000000000004">
      <c r="A1705" s="9" t="str">
        <f>HYPERLINK("PDF\FOIA-FWS-2020-00724-0001704.pdf","FOIA-FWS-2020-00724-0001704")</f>
        <v>FOIA-FWS-2020-00724-0001704</v>
      </c>
      <c r="B1705" s="3" t="s">
        <v>3073</v>
      </c>
      <c r="C1705" s="3" t="s">
        <v>234</v>
      </c>
      <c r="D1705" s="3" t="s">
        <v>33</v>
      </c>
      <c r="E1705" s="3" t="s">
        <v>3072</v>
      </c>
      <c r="F1705" s="4">
        <v>43579.435416666667</v>
      </c>
      <c r="G1705" s="3"/>
      <c r="H1705" s="3"/>
      <c r="I1705" s="3" t="s">
        <v>7043</v>
      </c>
      <c r="J1705" s="3"/>
      <c r="K1705" s="3"/>
      <c r="L1705" s="5"/>
    </row>
    <row r="1706" spans="1:12" ht="28.8" x14ac:dyDescent="0.55000000000000004">
      <c r="A1706" s="9" t="str">
        <f>HYPERLINK("PDF\FOIA-FWS-2020-00724-0001705.pdf","FOIA-FWS-2020-00724-0001705")</f>
        <v>FOIA-FWS-2020-00724-0001705</v>
      </c>
      <c r="B1706" s="3" t="s">
        <v>3075</v>
      </c>
      <c r="C1706" s="3" t="s">
        <v>3</v>
      </c>
      <c r="D1706" s="3" t="s">
        <v>33</v>
      </c>
      <c r="E1706" s="3" t="s">
        <v>3077</v>
      </c>
      <c r="F1706" s="4">
        <v>43579.655555555553</v>
      </c>
      <c r="G1706" s="3" t="s">
        <v>1520</v>
      </c>
      <c r="H1706" s="3" t="s">
        <v>3076</v>
      </c>
      <c r="I1706" s="3" t="s">
        <v>7043</v>
      </c>
      <c r="J1706" s="3"/>
      <c r="K1706" s="3"/>
      <c r="L1706" s="5"/>
    </row>
    <row r="1707" spans="1:12" ht="28.8" x14ac:dyDescent="0.55000000000000004">
      <c r="A1707" s="9" t="str">
        <f>HYPERLINK("PDF\FOIA-FWS-2020-00724-0001706.pdf","FOIA-FWS-2020-00724-0001706")</f>
        <v>FOIA-FWS-2020-00724-0001706</v>
      </c>
      <c r="B1707" s="3" t="s">
        <v>3075</v>
      </c>
      <c r="C1707" s="3" t="s">
        <v>234</v>
      </c>
      <c r="D1707" s="3" t="s">
        <v>4</v>
      </c>
      <c r="E1707" s="3" t="s">
        <v>3078</v>
      </c>
      <c r="F1707" s="4">
        <v>43579.655555555553</v>
      </c>
      <c r="G1707" s="3"/>
      <c r="H1707" s="3"/>
      <c r="I1707" s="3" t="s">
        <v>7043</v>
      </c>
      <c r="J1707" s="3"/>
      <c r="K1707" s="3"/>
      <c r="L1707" s="5"/>
    </row>
    <row r="1708" spans="1:12" ht="43.2" x14ac:dyDescent="0.55000000000000004">
      <c r="A1708" s="9" t="str">
        <f>HYPERLINK("PDF\FOIA-FWS-2020-00724-0001707.pdf","FOIA-FWS-2020-00724-0001707")</f>
        <v>FOIA-FWS-2020-00724-0001707</v>
      </c>
      <c r="B1708" s="3" t="s">
        <v>3079</v>
      </c>
      <c r="C1708" s="3" t="s">
        <v>3</v>
      </c>
      <c r="D1708" s="3" t="s">
        <v>33</v>
      </c>
      <c r="E1708" s="3" t="s">
        <v>3081</v>
      </c>
      <c r="F1708" s="4">
        <v>43580.538888888892</v>
      </c>
      <c r="G1708" s="3" t="s">
        <v>955</v>
      </c>
      <c r="H1708" s="3" t="s">
        <v>3080</v>
      </c>
      <c r="I1708" s="3" t="s">
        <v>7043</v>
      </c>
      <c r="J1708" s="3"/>
      <c r="K1708" s="3"/>
      <c r="L1708" s="5"/>
    </row>
    <row r="1709" spans="1:12" ht="28.8" x14ac:dyDescent="0.55000000000000004">
      <c r="A1709" s="9" t="str">
        <f>HYPERLINK("PDF\FOIA-FWS-2020-00724-0001708.pdf","FOIA-FWS-2020-00724-0001708")</f>
        <v>FOIA-FWS-2020-00724-0001708</v>
      </c>
      <c r="B1709" s="3" t="s">
        <v>3079</v>
      </c>
      <c r="C1709" s="3" t="s">
        <v>234</v>
      </c>
      <c r="D1709" s="3" t="s">
        <v>33</v>
      </c>
      <c r="E1709" s="3" t="s">
        <v>3082</v>
      </c>
      <c r="F1709" s="4">
        <v>43580.538888888892</v>
      </c>
      <c r="G1709" s="3"/>
      <c r="H1709" s="3"/>
      <c r="I1709" s="3" t="s">
        <v>7043</v>
      </c>
      <c r="J1709" s="3"/>
      <c r="K1709" s="3"/>
      <c r="L1709" s="5"/>
    </row>
    <row r="1710" spans="1:12" ht="28.8" x14ac:dyDescent="0.55000000000000004">
      <c r="A1710" s="9" t="str">
        <f>HYPERLINK("PDF\FOIA-FWS-2020-00724-0001709.pdf","FOIA-FWS-2020-00724-0001709")</f>
        <v>FOIA-FWS-2020-00724-0001709</v>
      </c>
      <c r="B1710" s="3" t="s">
        <v>3083</v>
      </c>
      <c r="C1710" s="3" t="s">
        <v>3</v>
      </c>
      <c r="D1710" s="3" t="s">
        <v>33</v>
      </c>
      <c r="E1710" s="3" t="s">
        <v>3084</v>
      </c>
      <c r="F1710" s="4">
        <v>43580.831944444442</v>
      </c>
      <c r="G1710" s="3" t="s">
        <v>955</v>
      </c>
      <c r="H1710" s="3" t="s">
        <v>963</v>
      </c>
      <c r="I1710" s="3" t="s">
        <v>7043</v>
      </c>
      <c r="J1710" s="3"/>
      <c r="K1710" s="3"/>
      <c r="L1710" s="5"/>
    </row>
    <row r="1711" spans="1:12" ht="28.8" x14ac:dyDescent="0.55000000000000004">
      <c r="A1711" s="9" t="str">
        <f>HYPERLINK("PDF\FOIA-FWS-2020-00724-0001710.pdf","FOIA-FWS-2020-00724-0001710")</f>
        <v>FOIA-FWS-2020-00724-0001710</v>
      </c>
      <c r="B1711" s="3" t="s">
        <v>3083</v>
      </c>
      <c r="C1711" s="3" t="s">
        <v>234</v>
      </c>
      <c r="D1711" s="3" t="s">
        <v>33</v>
      </c>
      <c r="E1711" s="3" t="s">
        <v>3085</v>
      </c>
      <c r="F1711" s="4">
        <v>43580.831944444442</v>
      </c>
      <c r="G1711" s="3"/>
      <c r="H1711" s="3"/>
      <c r="I1711" s="3" t="s">
        <v>7043</v>
      </c>
      <c r="J1711" s="3"/>
      <c r="K1711" s="3"/>
      <c r="L1711" s="5"/>
    </row>
    <row r="1712" spans="1:12" ht="28.8" x14ac:dyDescent="0.55000000000000004">
      <c r="A1712" s="9" t="str">
        <f>HYPERLINK("PDF\FOIA-FWS-2020-00724-0001711.pdf","FOIA-FWS-2020-00724-0001711")</f>
        <v>FOIA-FWS-2020-00724-0001711</v>
      </c>
      <c r="B1712" s="3" t="s">
        <v>3086</v>
      </c>
      <c r="C1712" s="3" t="s">
        <v>3</v>
      </c>
      <c r="D1712" s="3" t="s">
        <v>33</v>
      </c>
      <c r="E1712" s="3" t="s">
        <v>3087</v>
      </c>
      <c r="F1712" s="4">
        <v>43581.722916666666</v>
      </c>
      <c r="G1712" s="3" t="s">
        <v>1392</v>
      </c>
      <c r="H1712" s="3" t="s">
        <v>955</v>
      </c>
      <c r="I1712" s="3" t="s">
        <v>7043</v>
      </c>
      <c r="J1712" s="3"/>
      <c r="K1712" s="3"/>
      <c r="L1712" s="5"/>
    </row>
    <row r="1713" spans="1:12" ht="28.8" x14ac:dyDescent="0.55000000000000004">
      <c r="A1713" s="9" t="str">
        <f>HYPERLINK("PDF\FOIA-FWS-2020-00724-0001712.pdf","FOIA-FWS-2020-00724-0001712")</f>
        <v>FOIA-FWS-2020-00724-0001712</v>
      </c>
      <c r="B1713" s="3" t="s">
        <v>3088</v>
      </c>
      <c r="C1713" s="3" t="s">
        <v>3</v>
      </c>
      <c r="D1713" s="3" t="s">
        <v>4</v>
      </c>
      <c r="E1713" s="3" t="s">
        <v>3089</v>
      </c>
      <c r="F1713" s="4">
        <v>43582</v>
      </c>
      <c r="G1713" s="3"/>
      <c r="H1713" s="3"/>
      <c r="I1713" s="3" t="s">
        <v>7043</v>
      </c>
      <c r="J1713" s="3"/>
      <c r="K1713" s="3"/>
      <c r="L1713" s="5"/>
    </row>
    <row r="1714" spans="1:12" ht="28.8" x14ac:dyDescent="0.55000000000000004">
      <c r="A1714" s="9" t="str">
        <f>HYPERLINK("PDF\FOIA-FWS-2020-00724-0001713.pdf","FOIA-FWS-2020-00724-0001713")</f>
        <v>FOIA-FWS-2020-00724-0001713</v>
      </c>
      <c r="B1714" s="3" t="s">
        <v>3090</v>
      </c>
      <c r="C1714" s="3" t="s">
        <v>3</v>
      </c>
      <c r="D1714" s="3" t="s">
        <v>33</v>
      </c>
      <c r="E1714" s="3" t="s">
        <v>3091</v>
      </c>
      <c r="F1714" s="4">
        <v>43584</v>
      </c>
      <c r="G1714" s="3"/>
      <c r="H1714" s="3"/>
      <c r="I1714" s="3" t="s">
        <v>7043</v>
      </c>
      <c r="J1714" s="3"/>
      <c r="K1714" s="3"/>
      <c r="L1714" s="5"/>
    </row>
    <row r="1715" spans="1:12" ht="57.6" x14ac:dyDescent="0.55000000000000004">
      <c r="A1715" s="9" t="str">
        <f>HYPERLINK("PDF\FOIA-FWS-2020-00724-0001714.pdf","FOIA-FWS-2020-00724-0001714")</f>
        <v>FOIA-FWS-2020-00724-0001714</v>
      </c>
      <c r="B1715" s="3" t="s">
        <v>3092</v>
      </c>
      <c r="C1715" s="3" t="s">
        <v>3</v>
      </c>
      <c r="D1715" s="3" t="s">
        <v>33</v>
      </c>
      <c r="E1715" s="3" t="s">
        <v>3094</v>
      </c>
      <c r="F1715" s="4">
        <v>43584.49722222222</v>
      </c>
      <c r="G1715" s="3" t="s">
        <v>852</v>
      </c>
      <c r="H1715" s="3" t="s">
        <v>3093</v>
      </c>
      <c r="I1715" s="3" t="s">
        <v>864</v>
      </c>
      <c r="J1715" s="3" t="s">
        <v>7046</v>
      </c>
      <c r="K1715" s="3" t="s">
        <v>7036</v>
      </c>
      <c r="L1715" s="5"/>
    </row>
    <row r="1716" spans="1:12" ht="86.4" x14ac:dyDescent="0.55000000000000004">
      <c r="A1716" s="9" t="str">
        <f>HYPERLINK("PDF\FOIA-FWS-2020-00724-0001715.pdf","FOIA-FWS-2020-00724-0001715")</f>
        <v>FOIA-FWS-2020-00724-0001715</v>
      </c>
      <c r="B1716" s="3" t="s">
        <v>3092</v>
      </c>
      <c r="C1716" s="3" t="s">
        <v>234</v>
      </c>
      <c r="D1716" s="3" t="s">
        <v>33</v>
      </c>
      <c r="E1716" s="3" t="s">
        <v>3097</v>
      </c>
      <c r="F1716" s="4">
        <v>43584.49722222222</v>
      </c>
      <c r="G1716" s="3" t="s">
        <v>3095</v>
      </c>
      <c r="H1716" s="3" t="s">
        <v>3096</v>
      </c>
      <c r="I1716" s="3" t="s">
        <v>864</v>
      </c>
      <c r="J1716" s="3" t="s">
        <v>7046</v>
      </c>
      <c r="K1716" s="3" t="s">
        <v>7036</v>
      </c>
      <c r="L1716" s="5"/>
    </row>
    <row r="1717" spans="1:12" ht="28.8" x14ac:dyDescent="0.55000000000000004">
      <c r="A1717" s="9" t="str">
        <f>HYPERLINK("PDF\FOIA-FWS-2020-00724-0001716.pdf","FOIA-FWS-2020-00724-0001716")</f>
        <v>FOIA-FWS-2020-00724-0001716</v>
      </c>
      <c r="B1717" s="3" t="s">
        <v>3098</v>
      </c>
      <c r="C1717" s="3" t="s">
        <v>3</v>
      </c>
      <c r="D1717" s="3" t="s">
        <v>33</v>
      </c>
      <c r="E1717" s="3" t="s">
        <v>3099</v>
      </c>
      <c r="F1717" s="4">
        <v>43584.504861111112</v>
      </c>
      <c r="G1717" s="3" t="s">
        <v>1119</v>
      </c>
      <c r="H1717" s="3" t="s">
        <v>1024</v>
      </c>
      <c r="I1717" s="3" t="s">
        <v>7043</v>
      </c>
      <c r="J1717" s="3"/>
      <c r="K1717" s="3"/>
      <c r="L1717" s="5"/>
    </row>
    <row r="1718" spans="1:12" ht="28.8" x14ac:dyDescent="0.55000000000000004">
      <c r="A1718" s="9" t="str">
        <f>HYPERLINK("PDF\FOIA-FWS-2020-00724-0001717.pdf","FOIA-FWS-2020-00724-0001717")</f>
        <v>FOIA-FWS-2020-00724-0001717</v>
      </c>
      <c r="B1718" s="3" t="s">
        <v>3100</v>
      </c>
      <c r="C1718" s="3" t="s">
        <v>3</v>
      </c>
      <c r="D1718" s="3" t="s">
        <v>33</v>
      </c>
      <c r="E1718" s="3" t="s">
        <v>3101</v>
      </c>
      <c r="F1718" s="4">
        <v>43584.507638888892</v>
      </c>
      <c r="G1718" s="3" t="s">
        <v>919</v>
      </c>
      <c r="H1718" s="3" t="s">
        <v>963</v>
      </c>
      <c r="I1718" s="3" t="s">
        <v>7043</v>
      </c>
      <c r="J1718" s="3"/>
      <c r="K1718" s="3"/>
      <c r="L1718" s="5"/>
    </row>
    <row r="1719" spans="1:12" ht="28.8" x14ac:dyDescent="0.55000000000000004">
      <c r="A1719" s="9" t="str">
        <f>HYPERLINK("PDF\FOIA-FWS-2020-00724-0001718.pdf","FOIA-FWS-2020-00724-0001718")</f>
        <v>FOIA-FWS-2020-00724-0001718</v>
      </c>
      <c r="B1719" s="3" t="s">
        <v>3100</v>
      </c>
      <c r="C1719" s="3" t="s">
        <v>234</v>
      </c>
      <c r="D1719" s="3" t="s">
        <v>33</v>
      </c>
      <c r="E1719" s="3" t="s">
        <v>3102</v>
      </c>
      <c r="F1719" s="4">
        <v>43584.507638888892</v>
      </c>
      <c r="G1719" s="3"/>
      <c r="H1719" s="3"/>
      <c r="I1719" s="3" t="s">
        <v>7043</v>
      </c>
      <c r="J1719" s="3"/>
      <c r="K1719" s="3"/>
      <c r="L1719" s="5"/>
    </row>
    <row r="1720" spans="1:12" ht="28.8" x14ac:dyDescent="0.55000000000000004">
      <c r="A1720" s="9" t="str">
        <f>HYPERLINK("PDF\FOIA-FWS-2020-00724-0001719.pdf","FOIA-FWS-2020-00724-0001719")</f>
        <v>FOIA-FWS-2020-00724-0001719</v>
      </c>
      <c r="B1720" s="3" t="s">
        <v>3103</v>
      </c>
      <c r="C1720" s="3" t="s">
        <v>3</v>
      </c>
      <c r="D1720" s="3" t="s">
        <v>33</v>
      </c>
      <c r="E1720" s="3" t="s">
        <v>3104</v>
      </c>
      <c r="F1720" s="4">
        <v>43585</v>
      </c>
      <c r="G1720" s="3"/>
      <c r="H1720" s="3"/>
      <c r="I1720" s="3" t="s">
        <v>7043</v>
      </c>
      <c r="J1720" s="3"/>
      <c r="K1720" s="3"/>
      <c r="L1720" s="5"/>
    </row>
    <row r="1721" spans="1:12" ht="28.8" x14ac:dyDescent="0.55000000000000004">
      <c r="A1721" s="9" t="str">
        <f>HYPERLINK("PDF\FOIA-FWS-2020-00724-0001720.pdf","FOIA-FWS-2020-00724-0001720")</f>
        <v>FOIA-FWS-2020-00724-0001720</v>
      </c>
      <c r="B1721" s="3" t="s">
        <v>3105</v>
      </c>
      <c r="C1721" s="3" t="s">
        <v>3</v>
      </c>
      <c r="D1721" s="3" t="s">
        <v>33</v>
      </c>
      <c r="E1721" s="3" t="s">
        <v>3106</v>
      </c>
      <c r="F1721" s="4">
        <v>43585</v>
      </c>
      <c r="G1721" s="3"/>
      <c r="H1721" s="3"/>
      <c r="I1721" s="3" t="s">
        <v>7043</v>
      </c>
      <c r="J1721" s="3"/>
      <c r="K1721" s="3"/>
      <c r="L1721" s="5"/>
    </row>
    <row r="1722" spans="1:12" ht="28.8" x14ac:dyDescent="0.55000000000000004">
      <c r="A1722" s="9" t="str">
        <f>HYPERLINK("PDF\FOIA-FWS-2020-00724-0001721.pdf","FOIA-FWS-2020-00724-0001721")</f>
        <v>FOIA-FWS-2020-00724-0001721</v>
      </c>
      <c r="B1722" s="3" t="s">
        <v>3107</v>
      </c>
      <c r="C1722" s="3" t="s">
        <v>3</v>
      </c>
      <c r="D1722" s="3" t="s">
        <v>33</v>
      </c>
      <c r="E1722" s="3" t="s">
        <v>3108</v>
      </c>
      <c r="F1722" s="4">
        <v>43585.478472222225</v>
      </c>
      <c r="G1722" s="3" t="s">
        <v>1306</v>
      </c>
      <c r="H1722" s="3" t="s">
        <v>955</v>
      </c>
      <c r="I1722" s="3" t="s">
        <v>7043</v>
      </c>
      <c r="J1722" s="3"/>
      <c r="K1722" s="3"/>
      <c r="L1722" s="5"/>
    </row>
    <row r="1723" spans="1:12" ht="28.8" x14ac:dyDescent="0.55000000000000004">
      <c r="A1723" s="9" t="str">
        <f>HYPERLINK("PDF\FOIA-FWS-2020-00724-0001722.pdf","FOIA-FWS-2020-00724-0001722")</f>
        <v>FOIA-FWS-2020-00724-0001722</v>
      </c>
      <c r="B1723" s="3" t="s">
        <v>3109</v>
      </c>
      <c r="C1723" s="3" t="s">
        <v>3</v>
      </c>
      <c r="D1723" s="3" t="s">
        <v>33</v>
      </c>
      <c r="E1723" s="3" t="s">
        <v>3110</v>
      </c>
      <c r="F1723" s="4">
        <v>43585.69027777778</v>
      </c>
      <c r="G1723" s="3" t="s">
        <v>963</v>
      </c>
      <c r="H1723" s="3" t="s">
        <v>919</v>
      </c>
      <c r="I1723" s="3" t="s">
        <v>7043</v>
      </c>
      <c r="J1723" s="3"/>
      <c r="K1723" s="3"/>
      <c r="L1723" s="5"/>
    </row>
    <row r="1724" spans="1:12" ht="43.2" x14ac:dyDescent="0.55000000000000004">
      <c r="A1724" s="9" t="str">
        <f>HYPERLINK("PDF\FOIA-FWS-2020-00724-0001723.pdf","FOIA-FWS-2020-00724-0001723")</f>
        <v>FOIA-FWS-2020-00724-0001723</v>
      </c>
      <c r="B1724" s="3" t="s">
        <v>3111</v>
      </c>
      <c r="C1724" s="3" t="s">
        <v>3</v>
      </c>
      <c r="D1724" s="3" t="s">
        <v>33</v>
      </c>
      <c r="E1724" s="3" t="s">
        <v>3112</v>
      </c>
      <c r="F1724" s="4">
        <v>43585.741666666669</v>
      </c>
      <c r="G1724" s="3" t="s">
        <v>963</v>
      </c>
      <c r="H1724" s="3" t="s">
        <v>1060</v>
      </c>
      <c r="I1724" s="3" t="s">
        <v>7044</v>
      </c>
      <c r="J1724" s="3" t="s">
        <v>7046</v>
      </c>
      <c r="K1724" s="3" t="s">
        <v>7036</v>
      </c>
      <c r="L1724" s="5"/>
    </row>
    <row r="1725" spans="1:12" ht="43.2" x14ac:dyDescent="0.55000000000000004">
      <c r="A1725" t="s">
        <v>7023</v>
      </c>
      <c r="B1725" s="3" t="s">
        <v>3111</v>
      </c>
      <c r="C1725" s="3" t="s">
        <v>234</v>
      </c>
      <c r="D1725" s="3" t="s">
        <v>33</v>
      </c>
      <c r="E1725" s="3" t="s">
        <v>3113</v>
      </c>
      <c r="F1725" s="4">
        <v>43585.741666666669</v>
      </c>
      <c r="G1725" s="3"/>
      <c r="H1725" s="3"/>
      <c r="I1725" s="3" t="s">
        <v>7044</v>
      </c>
      <c r="J1725" s="3" t="s">
        <v>7046</v>
      </c>
      <c r="K1725" s="3"/>
      <c r="L1725" s="5"/>
    </row>
    <row r="1726" spans="1:12" ht="28.8" x14ac:dyDescent="0.55000000000000004">
      <c r="A1726" s="9" t="str">
        <f>HYPERLINK("PDF\FOIA-FWS-2020-00724-0001725.pdf","FOIA-FWS-2020-00724-0001725")</f>
        <v>FOIA-FWS-2020-00724-0001725</v>
      </c>
      <c r="B1726" s="3" t="s">
        <v>3114</v>
      </c>
      <c r="C1726" s="3" t="s">
        <v>3</v>
      </c>
      <c r="D1726" s="3" t="s">
        <v>38</v>
      </c>
      <c r="E1726" s="3" t="s">
        <v>3115</v>
      </c>
      <c r="F1726" s="4">
        <v>43586</v>
      </c>
      <c r="G1726" s="3"/>
      <c r="H1726" s="3"/>
      <c r="I1726" s="3" t="s">
        <v>7043</v>
      </c>
      <c r="J1726" s="3"/>
      <c r="K1726" s="3"/>
      <c r="L1726" s="5"/>
    </row>
    <row r="1727" spans="1:12" ht="28.8" x14ac:dyDescent="0.55000000000000004">
      <c r="A1727" s="9" t="str">
        <f>HYPERLINK("PDF\FOIA-FWS-2020-00724-0001726.pdf","FOIA-FWS-2020-00724-0001726")</f>
        <v>FOIA-FWS-2020-00724-0001726</v>
      </c>
      <c r="B1727" s="3" t="s">
        <v>3116</v>
      </c>
      <c r="C1727" s="3" t="s">
        <v>3</v>
      </c>
      <c r="D1727" s="3" t="s">
        <v>33</v>
      </c>
      <c r="E1727" s="3" t="s">
        <v>3117</v>
      </c>
      <c r="F1727" s="4">
        <v>43586</v>
      </c>
      <c r="G1727" s="3"/>
      <c r="H1727" s="3"/>
      <c r="I1727" s="3" t="s">
        <v>7043</v>
      </c>
      <c r="J1727" s="3"/>
      <c r="K1727" s="3"/>
      <c r="L1727" s="5"/>
    </row>
    <row r="1728" spans="1:12" ht="28.8" x14ac:dyDescent="0.55000000000000004">
      <c r="A1728" s="9" t="str">
        <f>HYPERLINK("PDF\FOIA-FWS-2020-00724-0001727.pdf","FOIA-FWS-2020-00724-0001727")</f>
        <v>FOIA-FWS-2020-00724-0001727</v>
      </c>
      <c r="B1728" s="3" t="s">
        <v>3118</v>
      </c>
      <c r="C1728" s="3" t="s">
        <v>3</v>
      </c>
      <c r="D1728" s="3" t="s">
        <v>33</v>
      </c>
      <c r="E1728" s="3" t="s">
        <v>3120</v>
      </c>
      <c r="F1728" s="4">
        <v>43586.82708333333</v>
      </c>
      <c r="G1728" s="3" t="s">
        <v>1119</v>
      </c>
      <c r="H1728" s="3" t="s">
        <v>3119</v>
      </c>
      <c r="I1728" s="3" t="s">
        <v>7043</v>
      </c>
      <c r="J1728" s="3"/>
      <c r="K1728" s="3"/>
      <c r="L1728" s="5"/>
    </row>
    <row r="1729" spans="1:12" ht="28.8" x14ac:dyDescent="0.55000000000000004">
      <c r="A1729" s="9" t="str">
        <f>HYPERLINK("PDF\FOIA-FWS-2020-00724-0001728.pdf","FOIA-FWS-2020-00724-0001728")</f>
        <v>FOIA-FWS-2020-00724-0001728</v>
      </c>
      <c r="B1729" s="3" t="s">
        <v>3118</v>
      </c>
      <c r="C1729" s="3" t="s">
        <v>234</v>
      </c>
      <c r="D1729" s="3" t="s">
        <v>33</v>
      </c>
      <c r="E1729" s="3" t="s">
        <v>3121</v>
      </c>
      <c r="F1729" s="4">
        <v>43586.82708333333</v>
      </c>
      <c r="G1729" s="3"/>
      <c r="H1729" s="3"/>
      <c r="I1729" s="3" t="s">
        <v>7043</v>
      </c>
      <c r="J1729" s="3"/>
      <c r="K1729" s="3"/>
      <c r="L1729" s="5"/>
    </row>
    <row r="1730" spans="1:12" ht="28.8" x14ac:dyDescent="0.55000000000000004">
      <c r="A1730" s="9" t="str">
        <f>HYPERLINK("PDF\FOIA-FWS-2020-00724-0001729.pdf","FOIA-FWS-2020-00724-0001729")</f>
        <v>FOIA-FWS-2020-00724-0001729</v>
      </c>
      <c r="B1730" s="3" t="s">
        <v>3122</v>
      </c>
      <c r="C1730" s="3" t="s">
        <v>3</v>
      </c>
      <c r="D1730" s="3" t="s">
        <v>33</v>
      </c>
      <c r="E1730" s="3" t="s">
        <v>3124</v>
      </c>
      <c r="F1730" s="4">
        <v>43587.840277777781</v>
      </c>
      <c r="G1730" s="3" t="s">
        <v>872</v>
      </c>
      <c r="H1730" s="3" t="s">
        <v>3123</v>
      </c>
      <c r="I1730" s="3" t="s">
        <v>7043</v>
      </c>
      <c r="J1730" s="3"/>
      <c r="K1730" s="3"/>
      <c r="L1730" s="5"/>
    </row>
    <row r="1731" spans="1:12" ht="28.8" x14ac:dyDescent="0.55000000000000004">
      <c r="A1731" s="9" t="str">
        <f>HYPERLINK("PDF\FOIA-FWS-2020-00724-0001730.pdf","FOIA-FWS-2020-00724-0001730")</f>
        <v>FOIA-FWS-2020-00724-0001730</v>
      </c>
      <c r="B1731" s="3" t="s">
        <v>3125</v>
      </c>
      <c r="C1731" s="3" t="s">
        <v>3</v>
      </c>
      <c r="D1731" s="3" t="s">
        <v>33</v>
      </c>
      <c r="E1731" s="3" t="s">
        <v>3126</v>
      </c>
      <c r="F1731" s="4">
        <v>43588.490277777775</v>
      </c>
      <c r="G1731" s="3" t="s">
        <v>955</v>
      </c>
      <c r="H1731" s="3" t="s">
        <v>1823</v>
      </c>
      <c r="I1731" s="3" t="s">
        <v>7043</v>
      </c>
      <c r="J1731" s="3"/>
      <c r="K1731" s="3"/>
      <c r="L1731" s="5"/>
    </row>
    <row r="1732" spans="1:12" ht="28.8" x14ac:dyDescent="0.55000000000000004">
      <c r="A1732" s="9" t="str">
        <f>HYPERLINK("PDF\FOIA-FWS-2020-00724-0001731.pdf","FOIA-FWS-2020-00724-0001731")</f>
        <v>FOIA-FWS-2020-00724-0001731</v>
      </c>
      <c r="B1732" s="3" t="s">
        <v>3127</v>
      </c>
      <c r="C1732" s="3" t="s">
        <v>3</v>
      </c>
      <c r="D1732" s="3" t="s">
        <v>33</v>
      </c>
      <c r="E1732" s="3" t="s">
        <v>3128</v>
      </c>
      <c r="F1732" s="4">
        <v>43588.72152777778</v>
      </c>
      <c r="G1732" s="3" t="s">
        <v>861</v>
      </c>
      <c r="H1732" s="3" t="s">
        <v>955</v>
      </c>
      <c r="I1732" s="3" t="s">
        <v>7043</v>
      </c>
      <c r="J1732" s="3"/>
      <c r="K1732" s="3"/>
      <c r="L1732" s="5"/>
    </row>
    <row r="1733" spans="1:12" ht="28.8" x14ac:dyDescent="0.55000000000000004">
      <c r="A1733" s="9" t="str">
        <f>HYPERLINK("PDF\FOIA-FWS-2020-00724-0001732.pdf","FOIA-FWS-2020-00724-0001732")</f>
        <v>FOIA-FWS-2020-00724-0001732</v>
      </c>
      <c r="B1733" s="3" t="s">
        <v>3129</v>
      </c>
      <c r="C1733" s="3" t="s">
        <v>3</v>
      </c>
      <c r="D1733" s="3" t="s">
        <v>33</v>
      </c>
      <c r="E1733" s="3" t="s">
        <v>3131</v>
      </c>
      <c r="F1733" s="4">
        <v>43590.754166666666</v>
      </c>
      <c r="G1733" s="3" t="s">
        <v>872</v>
      </c>
      <c r="H1733" s="3" t="s">
        <v>3130</v>
      </c>
      <c r="I1733" s="3" t="s">
        <v>7043</v>
      </c>
      <c r="J1733" s="3"/>
      <c r="K1733" s="3"/>
      <c r="L1733" s="5"/>
    </row>
    <row r="1734" spans="1:12" ht="28.8" x14ac:dyDescent="0.55000000000000004">
      <c r="A1734" s="9" t="str">
        <f>HYPERLINK("PDF\FOIA-FWS-2020-00724-0001733.pdf","FOIA-FWS-2020-00724-0001733")</f>
        <v>FOIA-FWS-2020-00724-0001733</v>
      </c>
      <c r="B1734" s="3" t="s">
        <v>3132</v>
      </c>
      <c r="C1734" s="3" t="s">
        <v>3</v>
      </c>
      <c r="D1734" s="3" t="s">
        <v>33</v>
      </c>
      <c r="E1734" s="3" t="s">
        <v>3133</v>
      </c>
      <c r="F1734" s="4">
        <v>43590.758333333331</v>
      </c>
      <c r="G1734" s="3" t="s">
        <v>872</v>
      </c>
      <c r="H1734" s="3" t="s">
        <v>963</v>
      </c>
      <c r="I1734" s="3" t="s">
        <v>7043</v>
      </c>
      <c r="J1734" s="3"/>
      <c r="K1734" s="3"/>
      <c r="L1734" s="5"/>
    </row>
    <row r="1735" spans="1:12" ht="28.8" x14ac:dyDescent="0.55000000000000004">
      <c r="A1735" s="9" t="str">
        <f>HYPERLINK("PDF\FOIA-FWS-2020-00724-0001734.pdf","FOIA-FWS-2020-00724-0001734")</f>
        <v>FOIA-FWS-2020-00724-0001734</v>
      </c>
      <c r="B1735" s="3" t="s">
        <v>3132</v>
      </c>
      <c r="C1735" s="3" t="s">
        <v>234</v>
      </c>
      <c r="D1735" s="3" t="s">
        <v>33</v>
      </c>
      <c r="E1735" s="3" t="s">
        <v>3134</v>
      </c>
      <c r="F1735" s="4">
        <v>43590.758333333331</v>
      </c>
      <c r="G1735" s="3"/>
      <c r="H1735" s="3"/>
      <c r="I1735" s="3" t="s">
        <v>7043</v>
      </c>
      <c r="J1735" s="3"/>
      <c r="K1735" s="3"/>
      <c r="L1735" s="5"/>
    </row>
    <row r="1736" spans="1:12" ht="28.8" x14ac:dyDescent="0.55000000000000004">
      <c r="A1736" s="9" t="str">
        <f>HYPERLINK("PDF\FOIA-FWS-2020-00724-0001735.pdf","FOIA-FWS-2020-00724-0001735")</f>
        <v>FOIA-FWS-2020-00724-0001735</v>
      </c>
      <c r="B1736" s="3" t="s">
        <v>3135</v>
      </c>
      <c r="C1736" s="3" t="s">
        <v>3</v>
      </c>
      <c r="D1736" s="3" t="s">
        <v>33</v>
      </c>
      <c r="E1736" s="3" t="s">
        <v>3136</v>
      </c>
      <c r="F1736" s="4">
        <v>43591.553472222222</v>
      </c>
      <c r="G1736" s="3" t="s">
        <v>1060</v>
      </c>
      <c r="H1736" s="3" t="s">
        <v>963</v>
      </c>
      <c r="I1736" s="3" t="s">
        <v>7043</v>
      </c>
      <c r="J1736" s="3"/>
      <c r="K1736" s="3"/>
      <c r="L1736" s="5"/>
    </row>
    <row r="1737" spans="1:12" ht="28.8" x14ac:dyDescent="0.55000000000000004">
      <c r="A1737" s="9" t="str">
        <f>HYPERLINK("PDF\FOIA-FWS-2020-00724-0001736.pdf","FOIA-FWS-2020-00724-0001736")</f>
        <v>FOIA-FWS-2020-00724-0001736</v>
      </c>
      <c r="B1737" s="3" t="s">
        <v>3137</v>
      </c>
      <c r="C1737" s="3" t="s">
        <v>3</v>
      </c>
      <c r="D1737" s="3" t="s">
        <v>33</v>
      </c>
      <c r="E1737" s="3" t="s">
        <v>3138</v>
      </c>
      <c r="F1737" s="4">
        <v>43591.655555555553</v>
      </c>
      <c r="G1737" s="3" t="s">
        <v>899</v>
      </c>
      <c r="H1737" s="3" t="s">
        <v>893</v>
      </c>
      <c r="I1737" s="3" t="s">
        <v>7043</v>
      </c>
      <c r="J1737" s="3"/>
      <c r="K1737" s="3"/>
      <c r="L1737" s="5"/>
    </row>
    <row r="1738" spans="1:12" ht="28.8" x14ac:dyDescent="0.55000000000000004">
      <c r="A1738" s="9" t="str">
        <f>HYPERLINK("PDF\FOIA-FWS-2020-00724-0001737.pdf","FOIA-FWS-2020-00724-0001737")</f>
        <v>FOIA-FWS-2020-00724-0001737</v>
      </c>
      <c r="B1738" s="3" t="s">
        <v>3139</v>
      </c>
      <c r="C1738" s="3" t="s">
        <v>3</v>
      </c>
      <c r="D1738" s="3" t="s">
        <v>33</v>
      </c>
      <c r="E1738" s="3" t="s">
        <v>3140</v>
      </c>
      <c r="F1738" s="4">
        <v>43593.573611111111</v>
      </c>
      <c r="G1738" s="3" t="s">
        <v>872</v>
      </c>
      <c r="H1738" s="3" t="s">
        <v>3130</v>
      </c>
      <c r="I1738" s="3" t="s">
        <v>7043</v>
      </c>
      <c r="J1738" s="3"/>
      <c r="K1738" s="3"/>
      <c r="L1738" s="5"/>
    </row>
    <row r="1739" spans="1:12" ht="28.8" x14ac:dyDescent="0.55000000000000004">
      <c r="A1739" s="9" t="str">
        <f>HYPERLINK("PDF\FOIA-FWS-2020-00724-0001738.pdf","FOIA-FWS-2020-00724-0001738")</f>
        <v>FOIA-FWS-2020-00724-0001738</v>
      </c>
      <c r="B1739" s="3" t="s">
        <v>3141</v>
      </c>
      <c r="C1739" s="3" t="s">
        <v>3</v>
      </c>
      <c r="D1739" s="3" t="s">
        <v>33</v>
      </c>
      <c r="E1739" s="3" t="s">
        <v>3142</v>
      </c>
      <c r="F1739" s="4">
        <v>43593.814583333333</v>
      </c>
      <c r="G1739" s="3" t="s">
        <v>955</v>
      </c>
      <c r="H1739" s="3" t="s">
        <v>963</v>
      </c>
      <c r="I1739" s="3" t="s">
        <v>7043</v>
      </c>
      <c r="J1739" s="3"/>
      <c r="K1739" s="3"/>
      <c r="L1739" s="5"/>
    </row>
    <row r="1740" spans="1:12" ht="28.8" x14ac:dyDescent="0.55000000000000004">
      <c r="A1740" s="9" t="str">
        <f>HYPERLINK("PDF\FOIA-FWS-2020-00724-0001739.pdf","FOIA-FWS-2020-00724-0001739")</f>
        <v>FOIA-FWS-2020-00724-0001739</v>
      </c>
      <c r="B1740" s="3" t="s">
        <v>3143</v>
      </c>
      <c r="C1740" s="3" t="s">
        <v>3</v>
      </c>
      <c r="D1740" s="3" t="s">
        <v>33</v>
      </c>
      <c r="E1740" s="3" t="s">
        <v>3144</v>
      </c>
      <c r="F1740" s="4">
        <v>43594</v>
      </c>
      <c r="G1740" s="3"/>
      <c r="H1740" s="3"/>
      <c r="I1740" s="3" t="s">
        <v>7043</v>
      </c>
      <c r="J1740" s="3"/>
      <c r="K1740" s="3"/>
      <c r="L1740" s="5"/>
    </row>
    <row r="1741" spans="1:12" ht="28.8" x14ac:dyDescent="0.55000000000000004">
      <c r="A1741" s="9" t="str">
        <f>HYPERLINK("PDF\FOIA-FWS-2020-00724-0001740.pdf","FOIA-FWS-2020-00724-0001740")</f>
        <v>FOIA-FWS-2020-00724-0001740</v>
      </c>
      <c r="B1741" s="3" t="s">
        <v>3145</v>
      </c>
      <c r="C1741" s="3" t="s">
        <v>3</v>
      </c>
      <c r="D1741" s="3" t="s">
        <v>33</v>
      </c>
      <c r="E1741" s="3" t="s">
        <v>3146</v>
      </c>
      <c r="F1741" s="4">
        <v>43594</v>
      </c>
      <c r="G1741" s="3"/>
      <c r="H1741" s="3"/>
      <c r="I1741" s="3" t="s">
        <v>7043</v>
      </c>
      <c r="J1741" s="3"/>
      <c r="K1741" s="3"/>
      <c r="L1741" s="5"/>
    </row>
    <row r="1742" spans="1:12" ht="28.8" x14ac:dyDescent="0.55000000000000004">
      <c r="A1742" s="9" t="str">
        <f>HYPERLINK("PDF\FOIA-FWS-2020-00724-0001741.pdf","FOIA-FWS-2020-00724-0001741")</f>
        <v>FOIA-FWS-2020-00724-0001741</v>
      </c>
      <c r="B1742" s="3" t="s">
        <v>3147</v>
      </c>
      <c r="C1742" s="3" t="s">
        <v>3</v>
      </c>
      <c r="D1742" s="3" t="s">
        <v>33</v>
      </c>
      <c r="E1742" s="3" t="s">
        <v>3149</v>
      </c>
      <c r="F1742" s="4">
        <v>43594.87222222222</v>
      </c>
      <c r="G1742" s="3" t="s">
        <v>963</v>
      </c>
      <c r="H1742" s="3" t="s">
        <v>3148</v>
      </c>
      <c r="I1742" s="3" t="s">
        <v>7043</v>
      </c>
      <c r="J1742" s="3"/>
      <c r="K1742" s="3"/>
      <c r="L1742" s="5"/>
    </row>
    <row r="1743" spans="1:12" ht="28.8" x14ac:dyDescent="0.55000000000000004">
      <c r="A1743" s="9" t="str">
        <f>HYPERLINK("PDF\FOIA-FWS-2020-00724-0001742.pdf","FOIA-FWS-2020-00724-0001742")</f>
        <v>FOIA-FWS-2020-00724-0001742</v>
      </c>
      <c r="B1743" s="3" t="s">
        <v>3150</v>
      </c>
      <c r="C1743" s="3" t="s">
        <v>3</v>
      </c>
      <c r="D1743" s="3" t="s">
        <v>33</v>
      </c>
      <c r="E1743" s="3" t="s">
        <v>3151</v>
      </c>
      <c r="F1743" s="4">
        <v>43594.900694444441</v>
      </c>
      <c r="G1743" s="3" t="s">
        <v>899</v>
      </c>
      <c r="H1743" s="3" t="s">
        <v>963</v>
      </c>
      <c r="I1743" s="3" t="s">
        <v>864</v>
      </c>
      <c r="J1743" s="3" t="s">
        <v>7046</v>
      </c>
      <c r="K1743" s="3" t="s">
        <v>7036</v>
      </c>
      <c r="L1743" s="5"/>
    </row>
    <row r="1744" spans="1:12" ht="28.8" x14ac:dyDescent="0.55000000000000004">
      <c r="A1744" s="9" t="str">
        <f>HYPERLINK("PDF\FOIA-FWS-2020-00724-0001743.pdf","FOIA-FWS-2020-00724-0001743")</f>
        <v>FOIA-FWS-2020-00724-0001743</v>
      </c>
      <c r="B1744" s="3" t="s">
        <v>3150</v>
      </c>
      <c r="C1744" s="3" t="s">
        <v>234</v>
      </c>
      <c r="D1744" s="3" t="s">
        <v>33</v>
      </c>
      <c r="E1744" s="3" t="s">
        <v>3152</v>
      </c>
      <c r="F1744" s="4">
        <v>43594.900694444441</v>
      </c>
      <c r="G1744" s="3"/>
      <c r="H1744" s="3"/>
      <c r="I1744" s="3" t="s">
        <v>7043</v>
      </c>
      <c r="J1744" s="3"/>
      <c r="K1744" s="3"/>
      <c r="L1744" s="5"/>
    </row>
    <row r="1745" spans="1:12" ht="28.8" x14ac:dyDescent="0.55000000000000004">
      <c r="A1745" s="9" t="str">
        <f>HYPERLINK("PDF\FOIA-FWS-2020-00724-0001744.pdf","FOIA-FWS-2020-00724-0001744")</f>
        <v>FOIA-FWS-2020-00724-0001744</v>
      </c>
      <c r="B1745" s="3" t="s">
        <v>3153</v>
      </c>
      <c r="C1745" s="3" t="s">
        <v>3</v>
      </c>
      <c r="D1745" s="3" t="s">
        <v>33</v>
      </c>
      <c r="E1745" s="3" t="s">
        <v>3154</v>
      </c>
      <c r="F1745" s="4">
        <v>43595</v>
      </c>
      <c r="G1745" s="3"/>
      <c r="H1745" s="3"/>
      <c r="I1745" s="3" t="s">
        <v>7043</v>
      </c>
      <c r="J1745" s="3"/>
      <c r="K1745" s="3"/>
      <c r="L1745" s="5"/>
    </row>
    <row r="1746" spans="1:12" ht="28.8" x14ac:dyDescent="0.55000000000000004">
      <c r="A1746" s="9" t="str">
        <f>HYPERLINK("PDF\FOIA-FWS-2020-00724-0001745.pdf","FOIA-FWS-2020-00724-0001745")</f>
        <v>FOIA-FWS-2020-00724-0001745</v>
      </c>
      <c r="B1746" s="3" t="s">
        <v>3155</v>
      </c>
      <c r="C1746" s="3" t="s">
        <v>3</v>
      </c>
      <c r="D1746" s="3" t="s">
        <v>33</v>
      </c>
      <c r="E1746" s="3" t="s">
        <v>3156</v>
      </c>
      <c r="F1746" s="4">
        <v>43595.475694444445</v>
      </c>
      <c r="G1746" s="3" t="s">
        <v>945</v>
      </c>
      <c r="H1746" s="3" t="s">
        <v>963</v>
      </c>
      <c r="I1746" s="3" t="s">
        <v>7043</v>
      </c>
      <c r="J1746" s="3"/>
      <c r="K1746" s="3"/>
      <c r="L1746" s="5"/>
    </row>
    <row r="1747" spans="1:12" ht="28.8" x14ac:dyDescent="0.55000000000000004">
      <c r="A1747" s="9" t="str">
        <f>HYPERLINK("PDF\FOIA-FWS-2020-00724-0001746.pdf","FOIA-FWS-2020-00724-0001746")</f>
        <v>FOIA-FWS-2020-00724-0001746</v>
      </c>
      <c r="B1747" s="3" t="s">
        <v>3155</v>
      </c>
      <c r="C1747" s="3" t="s">
        <v>234</v>
      </c>
      <c r="D1747" s="3" t="s">
        <v>33</v>
      </c>
      <c r="E1747" s="3" t="s">
        <v>3157</v>
      </c>
      <c r="F1747" s="4">
        <v>43595.475694444445</v>
      </c>
      <c r="G1747" s="3"/>
      <c r="H1747" s="3"/>
      <c r="I1747" s="3" t="s">
        <v>7043</v>
      </c>
      <c r="J1747" s="3"/>
      <c r="K1747" s="3"/>
      <c r="L1747" s="5"/>
    </row>
    <row r="1748" spans="1:12" ht="129.6" x14ac:dyDescent="0.55000000000000004">
      <c r="A1748" s="9" t="str">
        <f>HYPERLINK("PDF\FOIA-FWS-2020-00724-0001747.pdf","FOIA-FWS-2020-00724-0001747")</f>
        <v>FOIA-FWS-2020-00724-0001747</v>
      </c>
      <c r="B1748" s="3" t="s">
        <v>3158</v>
      </c>
      <c r="C1748" s="3" t="s">
        <v>3</v>
      </c>
      <c r="D1748" s="3" t="s">
        <v>33</v>
      </c>
      <c r="E1748" s="3" t="s">
        <v>3160</v>
      </c>
      <c r="F1748" s="4">
        <v>43595.537499999999</v>
      </c>
      <c r="G1748" s="3" t="s">
        <v>955</v>
      </c>
      <c r="H1748" s="3" t="s">
        <v>3159</v>
      </c>
      <c r="I1748" s="3" t="s">
        <v>7043</v>
      </c>
      <c r="J1748" s="3"/>
      <c r="K1748" s="3"/>
      <c r="L1748" s="5"/>
    </row>
    <row r="1749" spans="1:12" ht="28.8" x14ac:dyDescent="0.55000000000000004">
      <c r="A1749" s="9" t="str">
        <f>HYPERLINK("PDF\FOIA-FWS-2020-00724-0001748.pdf","FOIA-FWS-2020-00724-0001748")</f>
        <v>FOIA-FWS-2020-00724-0001748</v>
      </c>
      <c r="B1749" s="3" t="s">
        <v>3161</v>
      </c>
      <c r="C1749" s="3" t="s">
        <v>3</v>
      </c>
      <c r="D1749" s="3" t="s">
        <v>33</v>
      </c>
      <c r="E1749" s="3" t="s">
        <v>3162</v>
      </c>
      <c r="F1749" s="4">
        <v>43595.543055555558</v>
      </c>
      <c r="G1749" s="3" t="s">
        <v>899</v>
      </c>
      <c r="H1749" s="3" t="s">
        <v>955</v>
      </c>
      <c r="I1749" s="3" t="s">
        <v>7043</v>
      </c>
      <c r="J1749" s="3"/>
      <c r="K1749" s="3"/>
      <c r="L1749" s="5"/>
    </row>
    <row r="1750" spans="1:12" ht="57.6" x14ac:dyDescent="0.55000000000000004">
      <c r="A1750" s="9" t="str">
        <f>HYPERLINK("PDF\FOIA-FWS-2020-00724-0001749.pdf","FOIA-FWS-2020-00724-0001749")</f>
        <v>FOIA-FWS-2020-00724-0001749</v>
      </c>
      <c r="B1750" s="3" t="s">
        <v>3163</v>
      </c>
      <c r="C1750" s="3" t="s">
        <v>3</v>
      </c>
      <c r="D1750" s="3" t="s">
        <v>33</v>
      </c>
      <c r="E1750" s="3" t="s">
        <v>3164</v>
      </c>
      <c r="F1750" s="4">
        <v>43595.658333333333</v>
      </c>
      <c r="G1750" s="3" t="s">
        <v>899</v>
      </c>
      <c r="H1750" s="3" t="s">
        <v>919</v>
      </c>
      <c r="I1750" s="3" t="s">
        <v>7043</v>
      </c>
      <c r="J1750" s="3"/>
      <c r="K1750" s="3"/>
      <c r="L1750" s="5"/>
    </row>
    <row r="1751" spans="1:12" ht="28.8" x14ac:dyDescent="0.55000000000000004">
      <c r="A1751" s="9" t="str">
        <f>HYPERLINK("PDF\FOIA-FWS-2020-00724-0001750.pdf","FOIA-FWS-2020-00724-0001750")</f>
        <v>FOIA-FWS-2020-00724-0001750</v>
      </c>
      <c r="B1751" s="3" t="s">
        <v>3165</v>
      </c>
      <c r="C1751" s="3" t="s">
        <v>3</v>
      </c>
      <c r="D1751" s="3" t="s">
        <v>33</v>
      </c>
      <c r="E1751" s="3" t="s">
        <v>3167</v>
      </c>
      <c r="F1751" s="4">
        <v>43595.684027777781</v>
      </c>
      <c r="G1751" s="3" t="s">
        <v>3166</v>
      </c>
      <c r="H1751" s="3" t="s">
        <v>963</v>
      </c>
      <c r="I1751" s="3" t="s">
        <v>7043</v>
      </c>
      <c r="J1751" s="3"/>
      <c r="K1751" s="3"/>
      <c r="L1751" s="5"/>
    </row>
    <row r="1752" spans="1:12" ht="57.6" x14ac:dyDescent="0.55000000000000004">
      <c r="A1752" s="9" t="str">
        <f>HYPERLINK("PDF\FOIA-FWS-2020-00724-0001751.pdf","FOIA-FWS-2020-00724-0001751")</f>
        <v>FOIA-FWS-2020-00724-0001751</v>
      </c>
      <c r="B1752" s="3" t="s">
        <v>3168</v>
      </c>
      <c r="C1752" s="3" t="s">
        <v>3</v>
      </c>
      <c r="D1752" s="3" t="s">
        <v>33</v>
      </c>
      <c r="E1752" s="3" t="s">
        <v>3169</v>
      </c>
      <c r="F1752" s="4">
        <v>43595.728472222225</v>
      </c>
      <c r="G1752" s="3" t="s">
        <v>1688</v>
      </c>
      <c r="H1752" s="3" t="s">
        <v>861</v>
      </c>
      <c r="I1752" s="3" t="s">
        <v>7043</v>
      </c>
      <c r="J1752" s="3"/>
      <c r="K1752" s="3"/>
      <c r="L1752" s="5"/>
    </row>
    <row r="1753" spans="1:12" ht="28.8" x14ac:dyDescent="0.55000000000000004">
      <c r="A1753" s="9" t="str">
        <f>HYPERLINK("PDF\FOIA-FWS-2020-00724-0001752.pdf","FOIA-FWS-2020-00724-0001752")</f>
        <v>FOIA-FWS-2020-00724-0001752</v>
      </c>
      <c r="B1753" s="3" t="s">
        <v>3168</v>
      </c>
      <c r="C1753" s="3" t="s">
        <v>234</v>
      </c>
      <c r="D1753" s="3" t="s">
        <v>33</v>
      </c>
      <c r="E1753" s="3" t="s">
        <v>3170</v>
      </c>
      <c r="F1753" s="4">
        <v>43595.728472222225</v>
      </c>
      <c r="G1753" s="3"/>
      <c r="H1753" s="3"/>
      <c r="I1753" s="3" t="s">
        <v>7043</v>
      </c>
      <c r="J1753" s="3"/>
      <c r="K1753" s="3"/>
      <c r="L1753" s="5"/>
    </row>
    <row r="1754" spans="1:12" ht="28.8" x14ac:dyDescent="0.55000000000000004">
      <c r="A1754" s="9" t="str">
        <f>HYPERLINK("PDF\FOIA-FWS-2020-00724-0001753.pdf","FOIA-FWS-2020-00724-0001753")</f>
        <v>FOIA-FWS-2020-00724-0001753</v>
      </c>
      <c r="B1754" s="3" t="s">
        <v>3171</v>
      </c>
      <c r="C1754" s="3" t="s">
        <v>3</v>
      </c>
      <c r="D1754" s="3" t="s">
        <v>33</v>
      </c>
      <c r="E1754" s="3" t="s">
        <v>3172</v>
      </c>
      <c r="F1754" s="4">
        <v>43598</v>
      </c>
      <c r="G1754" s="3"/>
      <c r="H1754" s="3"/>
      <c r="I1754" s="3" t="s">
        <v>7043</v>
      </c>
      <c r="J1754" s="3"/>
      <c r="K1754" s="3"/>
      <c r="L1754" s="5"/>
    </row>
    <row r="1755" spans="1:12" ht="72" x14ac:dyDescent="0.55000000000000004">
      <c r="A1755" s="9" t="str">
        <f>HYPERLINK("PDF\FOIA-FWS-2020-00724-0001754.pdf","FOIA-FWS-2020-00724-0001754")</f>
        <v>FOIA-FWS-2020-00724-0001754</v>
      </c>
      <c r="B1755" s="3" t="s">
        <v>3173</v>
      </c>
      <c r="C1755" s="3" t="s">
        <v>3</v>
      </c>
      <c r="D1755" s="3" t="s">
        <v>33</v>
      </c>
      <c r="E1755" s="3" t="s">
        <v>3174</v>
      </c>
      <c r="F1755" s="4">
        <v>43598.680555555555</v>
      </c>
      <c r="G1755" s="3" t="s">
        <v>955</v>
      </c>
      <c r="H1755" s="3" t="s">
        <v>1119</v>
      </c>
      <c r="I1755" s="3" t="s">
        <v>7043</v>
      </c>
      <c r="J1755" s="3"/>
      <c r="K1755" s="3"/>
      <c r="L1755" s="5"/>
    </row>
    <row r="1756" spans="1:12" ht="28.8" x14ac:dyDescent="0.55000000000000004">
      <c r="A1756" s="9" t="str">
        <f>HYPERLINK("PDF\FOIA-FWS-2020-00724-0001755.pdf","FOIA-FWS-2020-00724-0001755")</f>
        <v>FOIA-FWS-2020-00724-0001755</v>
      </c>
      <c r="B1756" s="3" t="s">
        <v>3175</v>
      </c>
      <c r="C1756" s="3" t="s">
        <v>3</v>
      </c>
      <c r="D1756" s="3" t="s">
        <v>33</v>
      </c>
      <c r="E1756" s="3" t="s">
        <v>3176</v>
      </c>
      <c r="F1756" s="4">
        <v>43598.805555555555</v>
      </c>
      <c r="G1756" s="3" t="s">
        <v>1119</v>
      </c>
      <c r="H1756" s="3" t="s">
        <v>945</v>
      </c>
      <c r="I1756" s="3" t="s">
        <v>7043</v>
      </c>
      <c r="J1756" s="3"/>
      <c r="K1756" s="3"/>
      <c r="L1756" s="5"/>
    </row>
    <row r="1757" spans="1:12" ht="28.8" x14ac:dyDescent="0.55000000000000004">
      <c r="A1757" s="9" t="str">
        <f>HYPERLINK("PDF\FOIA-FWS-2020-00724-0001756.pdf","FOIA-FWS-2020-00724-0001756")</f>
        <v>FOIA-FWS-2020-00724-0001756</v>
      </c>
      <c r="B1757" s="3" t="s">
        <v>3175</v>
      </c>
      <c r="C1757" s="3" t="s">
        <v>234</v>
      </c>
      <c r="D1757" s="3" t="s">
        <v>33</v>
      </c>
      <c r="E1757" s="3" t="s">
        <v>3177</v>
      </c>
      <c r="F1757" s="4">
        <v>43598.805555555555</v>
      </c>
      <c r="G1757" s="3"/>
      <c r="H1757" s="3"/>
      <c r="I1757" s="3" t="s">
        <v>7043</v>
      </c>
      <c r="J1757" s="3"/>
      <c r="K1757" s="3"/>
      <c r="L1757" s="5"/>
    </row>
    <row r="1758" spans="1:12" ht="43.2" x14ac:dyDescent="0.55000000000000004">
      <c r="A1758" s="9" t="str">
        <f>HYPERLINK("PDF\FOIA-FWS-2020-00724-0001757.pdf","FOIA-FWS-2020-00724-0001757")</f>
        <v>FOIA-FWS-2020-00724-0001757</v>
      </c>
      <c r="B1758" s="3" t="s">
        <v>3178</v>
      </c>
      <c r="C1758" s="3" t="s">
        <v>3</v>
      </c>
      <c r="D1758" s="3" t="s">
        <v>33</v>
      </c>
      <c r="E1758" s="3" t="s">
        <v>3179</v>
      </c>
      <c r="F1758" s="4">
        <v>43598.845138888886</v>
      </c>
      <c r="G1758" s="3" t="s">
        <v>861</v>
      </c>
      <c r="H1758" s="3" t="s">
        <v>1119</v>
      </c>
      <c r="I1758" s="3" t="s">
        <v>864</v>
      </c>
      <c r="J1758" s="3" t="s">
        <v>7046</v>
      </c>
      <c r="K1758" s="3" t="s">
        <v>7036</v>
      </c>
      <c r="L1758" s="5"/>
    </row>
    <row r="1759" spans="1:12" ht="57.6" x14ac:dyDescent="0.55000000000000004">
      <c r="A1759" s="9" t="str">
        <f>HYPERLINK("PDF\FOIA-FWS-2020-00724-0001758.pdf","FOIA-FWS-2020-00724-0001758")</f>
        <v>FOIA-FWS-2020-00724-0001758</v>
      </c>
      <c r="B1759" s="3" t="s">
        <v>3178</v>
      </c>
      <c r="C1759" s="3" t="s">
        <v>234</v>
      </c>
      <c r="D1759" s="3" t="s">
        <v>33</v>
      </c>
      <c r="E1759" s="3" t="s">
        <v>867</v>
      </c>
      <c r="F1759" s="4">
        <v>43598.845138888886</v>
      </c>
      <c r="G1759" s="3" t="s">
        <v>3095</v>
      </c>
      <c r="H1759" s="3" t="s">
        <v>3180</v>
      </c>
      <c r="I1759" s="3" t="s">
        <v>864</v>
      </c>
      <c r="J1759" s="3" t="s">
        <v>7046</v>
      </c>
      <c r="K1759" s="3" t="s">
        <v>7036</v>
      </c>
      <c r="L1759" s="5"/>
    </row>
    <row r="1760" spans="1:12" ht="28.8" x14ac:dyDescent="0.55000000000000004">
      <c r="A1760" s="9" t="str">
        <f>HYPERLINK("PDF\FOIA-FWS-2020-00724-0001759.pdf","FOIA-FWS-2020-00724-0001759")</f>
        <v>FOIA-FWS-2020-00724-0001759</v>
      </c>
      <c r="B1760" s="3" t="s">
        <v>3181</v>
      </c>
      <c r="C1760" s="3" t="s">
        <v>3</v>
      </c>
      <c r="D1760" s="3" t="s">
        <v>33</v>
      </c>
      <c r="E1760" s="3" t="s">
        <v>3182</v>
      </c>
      <c r="F1760" s="4">
        <v>43599.499305555553</v>
      </c>
      <c r="G1760" s="3" t="s">
        <v>945</v>
      </c>
      <c r="H1760" s="3" t="s">
        <v>1119</v>
      </c>
      <c r="I1760" s="3" t="s">
        <v>7043</v>
      </c>
      <c r="J1760" s="3"/>
      <c r="K1760" s="3"/>
      <c r="L1760" s="5"/>
    </row>
    <row r="1761" spans="1:12" ht="28.8" x14ac:dyDescent="0.55000000000000004">
      <c r="A1761" s="9" t="str">
        <f>HYPERLINK("PDF\FOIA-FWS-2020-00724-0001760.pdf","FOIA-FWS-2020-00724-0001760")</f>
        <v>FOIA-FWS-2020-00724-0001760</v>
      </c>
      <c r="B1761" s="3" t="s">
        <v>3183</v>
      </c>
      <c r="C1761" s="3" t="s">
        <v>3</v>
      </c>
      <c r="D1761" s="3" t="s">
        <v>33</v>
      </c>
      <c r="E1761" s="3" t="s">
        <v>3184</v>
      </c>
      <c r="F1761" s="4">
        <v>43600.447222222225</v>
      </c>
      <c r="G1761" s="3" t="s">
        <v>1823</v>
      </c>
      <c r="H1761" s="3" t="s">
        <v>919</v>
      </c>
      <c r="I1761" s="3" t="s">
        <v>7043</v>
      </c>
      <c r="J1761" s="3"/>
      <c r="K1761" s="3"/>
      <c r="L1761" s="5"/>
    </row>
    <row r="1762" spans="1:12" ht="28.8" x14ac:dyDescent="0.55000000000000004">
      <c r="A1762" s="9" t="str">
        <f>HYPERLINK("PDF\FOIA-FWS-2020-00724-0001761.pdf","FOIA-FWS-2020-00724-0001761")</f>
        <v>FOIA-FWS-2020-00724-0001761</v>
      </c>
      <c r="B1762" s="3" t="s">
        <v>3183</v>
      </c>
      <c r="C1762" s="3" t="s">
        <v>234</v>
      </c>
      <c r="D1762" s="3" t="s">
        <v>4</v>
      </c>
      <c r="E1762" s="3" t="s">
        <v>3185</v>
      </c>
      <c r="F1762" s="4">
        <v>43600.447222222225</v>
      </c>
      <c r="G1762" s="3"/>
      <c r="H1762" s="3"/>
      <c r="I1762" s="3" t="s">
        <v>7043</v>
      </c>
      <c r="J1762" s="3"/>
      <c r="K1762" s="3"/>
      <c r="L1762" s="5"/>
    </row>
    <row r="1763" spans="1:12" ht="28.8" x14ac:dyDescent="0.55000000000000004">
      <c r="A1763" s="9" t="str">
        <f>HYPERLINK("PDF\FOIA-FWS-2020-00724-0001762.pdf","FOIA-FWS-2020-00724-0001762")</f>
        <v>FOIA-FWS-2020-00724-0001762</v>
      </c>
      <c r="B1763" s="3" t="s">
        <v>3183</v>
      </c>
      <c r="C1763" s="3" t="s">
        <v>234</v>
      </c>
      <c r="D1763" s="3" t="s">
        <v>4</v>
      </c>
      <c r="E1763" s="3" t="s">
        <v>3186</v>
      </c>
      <c r="F1763" s="4">
        <v>43600.447222222225</v>
      </c>
      <c r="G1763" s="3"/>
      <c r="H1763" s="3"/>
      <c r="I1763" s="3" t="s">
        <v>7043</v>
      </c>
      <c r="J1763" s="3"/>
      <c r="K1763" s="3"/>
      <c r="L1763" s="5"/>
    </row>
    <row r="1764" spans="1:12" ht="28.8" x14ac:dyDescent="0.55000000000000004">
      <c r="A1764" s="9" t="str">
        <f>HYPERLINK("PDF\FOIA-FWS-2020-00724-0001763.pdf","FOIA-FWS-2020-00724-0001763")</f>
        <v>FOIA-FWS-2020-00724-0001763</v>
      </c>
      <c r="B1764" s="3" t="s">
        <v>3183</v>
      </c>
      <c r="C1764" s="3" t="s">
        <v>234</v>
      </c>
      <c r="D1764" s="3" t="s">
        <v>4</v>
      </c>
      <c r="E1764" s="3" t="s">
        <v>3187</v>
      </c>
      <c r="F1764" s="4">
        <v>43600.447222222225</v>
      </c>
      <c r="G1764" s="3"/>
      <c r="H1764" s="3"/>
      <c r="I1764" s="3" t="s">
        <v>7043</v>
      </c>
      <c r="J1764" s="3"/>
      <c r="K1764" s="3"/>
      <c r="L1764" s="5"/>
    </row>
    <row r="1765" spans="1:12" ht="43.2" x14ac:dyDescent="0.55000000000000004">
      <c r="A1765" s="9" t="str">
        <f>HYPERLINK("PDF\FOIA-FWS-2020-00724-0001764.pdf","FOIA-FWS-2020-00724-0001764")</f>
        <v>FOIA-FWS-2020-00724-0001764</v>
      </c>
      <c r="B1765" s="3" t="s">
        <v>3188</v>
      </c>
      <c r="C1765" s="3" t="s">
        <v>3</v>
      </c>
      <c r="D1765" s="3" t="s">
        <v>33</v>
      </c>
      <c r="E1765" s="3" t="s">
        <v>3190</v>
      </c>
      <c r="F1765" s="4">
        <v>43600.470138888886</v>
      </c>
      <c r="G1765" s="3" t="s">
        <v>955</v>
      </c>
      <c r="H1765" s="3" t="s">
        <v>3189</v>
      </c>
      <c r="I1765" s="3" t="s">
        <v>7043</v>
      </c>
      <c r="J1765" s="3"/>
      <c r="K1765" s="3"/>
      <c r="L1765" s="5"/>
    </row>
    <row r="1766" spans="1:12" ht="28.8" x14ac:dyDescent="0.55000000000000004">
      <c r="A1766" s="9" t="str">
        <f>HYPERLINK("PDF\FOIA-FWS-2020-00724-0001765.pdf","FOIA-FWS-2020-00724-0001765")</f>
        <v>FOIA-FWS-2020-00724-0001765</v>
      </c>
      <c r="B1766" s="3" t="s">
        <v>3188</v>
      </c>
      <c r="C1766" s="3" t="s">
        <v>234</v>
      </c>
      <c r="D1766" s="3" t="s">
        <v>33</v>
      </c>
      <c r="E1766" s="3" t="s">
        <v>3177</v>
      </c>
      <c r="F1766" s="4">
        <v>43600.470138888886</v>
      </c>
      <c r="G1766" s="3"/>
      <c r="H1766" s="3"/>
      <c r="I1766" s="3" t="s">
        <v>7043</v>
      </c>
      <c r="J1766" s="3"/>
      <c r="K1766" s="3"/>
      <c r="L1766" s="5"/>
    </row>
    <row r="1767" spans="1:12" ht="28.8" x14ac:dyDescent="0.55000000000000004">
      <c r="A1767" s="9" t="str">
        <f>HYPERLINK("PDF\FOIA-FWS-2020-00724-0001766.pdf","FOIA-FWS-2020-00724-0001766")</f>
        <v>FOIA-FWS-2020-00724-0001766</v>
      </c>
      <c r="B1767" s="3" t="s">
        <v>3191</v>
      </c>
      <c r="C1767" s="3" t="s">
        <v>3</v>
      </c>
      <c r="D1767" s="3" t="s">
        <v>33</v>
      </c>
      <c r="E1767" s="3" t="s">
        <v>3142</v>
      </c>
      <c r="F1767" s="4">
        <v>43600.6875</v>
      </c>
      <c r="G1767" s="3" t="s">
        <v>955</v>
      </c>
      <c r="H1767" s="3" t="s">
        <v>1250</v>
      </c>
      <c r="I1767" s="3" t="s">
        <v>7043</v>
      </c>
      <c r="J1767" s="3"/>
      <c r="K1767" s="3"/>
      <c r="L1767" s="5"/>
    </row>
    <row r="1768" spans="1:12" ht="28.8" x14ac:dyDescent="0.55000000000000004">
      <c r="A1768" s="9" t="str">
        <f>HYPERLINK("PDF\FOIA-FWS-2020-00724-0001767.pdf","FOIA-FWS-2020-00724-0001767")</f>
        <v>FOIA-FWS-2020-00724-0001767</v>
      </c>
      <c r="B1768" s="3" t="s">
        <v>3192</v>
      </c>
      <c r="C1768" s="3" t="s">
        <v>3</v>
      </c>
      <c r="D1768" s="3" t="s">
        <v>33</v>
      </c>
      <c r="E1768" s="3" t="s">
        <v>3184</v>
      </c>
      <c r="F1768" s="4">
        <v>43600.713888888888</v>
      </c>
      <c r="G1768" s="3" t="s">
        <v>919</v>
      </c>
      <c r="H1768" s="3" t="s">
        <v>1823</v>
      </c>
      <c r="I1768" s="3" t="s">
        <v>7043</v>
      </c>
      <c r="J1768" s="3"/>
      <c r="K1768" s="3"/>
      <c r="L1768" s="5"/>
    </row>
    <row r="1769" spans="1:12" ht="28.8" x14ac:dyDescent="0.55000000000000004">
      <c r="A1769" s="9" t="str">
        <f>HYPERLINK("PDF\FOIA-FWS-2020-00724-0001768.pdf","FOIA-FWS-2020-00724-0001768")</f>
        <v>FOIA-FWS-2020-00724-0001768</v>
      </c>
      <c r="B1769" s="3" t="s">
        <v>3193</v>
      </c>
      <c r="C1769" s="3" t="s">
        <v>3</v>
      </c>
      <c r="D1769" s="3" t="s">
        <v>33</v>
      </c>
      <c r="E1769" s="3" t="s">
        <v>3195</v>
      </c>
      <c r="F1769" s="4">
        <v>43600.716666666667</v>
      </c>
      <c r="G1769" s="3" t="s">
        <v>955</v>
      </c>
      <c r="H1769" s="3" t="s">
        <v>3194</v>
      </c>
      <c r="I1769" s="3" t="s">
        <v>7048</v>
      </c>
      <c r="J1769" s="3" t="s">
        <v>7050</v>
      </c>
      <c r="K1769" s="3" t="s">
        <v>7036</v>
      </c>
      <c r="L1769" s="5"/>
    </row>
    <row r="1770" spans="1:12" ht="28.8" x14ac:dyDescent="0.55000000000000004">
      <c r="A1770" s="9" t="str">
        <f>HYPERLINK("PDF\FOIA-FWS-2020-00724-0001769.pdf","FOIA-FWS-2020-00724-0001769")</f>
        <v>FOIA-FWS-2020-00724-0001769</v>
      </c>
      <c r="B1770" s="3" t="s">
        <v>3193</v>
      </c>
      <c r="C1770" s="3" t="s">
        <v>234</v>
      </c>
      <c r="D1770" s="3" t="s">
        <v>33</v>
      </c>
      <c r="E1770" s="3" t="s">
        <v>3196</v>
      </c>
      <c r="F1770" s="4">
        <v>43600.716666666667</v>
      </c>
      <c r="G1770" s="3"/>
      <c r="H1770" s="3"/>
      <c r="I1770" s="3" t="s">
        <v>7043</v>
      </c>
      <c r="J1770" s="3"/>
      <c r="K1770" s="3"/>
      <c r="L1770" s="5"/>
    </row>
    <row r="1771" spans="1:12" ht="28.8" x14ac:dyDescent="0.55000000000000004">
      <c r="A1771" s="9" t="str">
        <f>HYPERLINK("PDF\FOIA-FWS-2020-00724-0001770.pdf","FOIA-FWS-2020-00724-0001770")</f>
        <v>FOIA-FWS-2020-00724-0001770</v>
      </c>
      <c r="B1771" s="3" t="s">
        <v>3197</v>
      </c>
      <c r="C1771" s="3" t="s">
        <v>3</v>
      </c>
      <c r="D1771" s="3" t="s">
        <v>33</v>
      </c>
      <c r="E1771" s="3" t="s">
        <v>3198</v>
      </c>
      <c r="F1771" s="4">
        <v>43600.800694444442</v>
      </c>
      <c r="G1771" s="3" t="s">
        <v>1306</v>
      </c>
      <c r="H1771" s="3" t="s">
        <v>1392</v>
      </c>
      <c r="I1771" s="3" t="s">
        <v>7043</v>
      </c>
      <c r="J1771" s="3"/>
      <c r="K1771" s="3"/>
      <c r="L1771" s="5"/>
    </row>
    <row r="1772" spans="1:12" ht="28.8" x14ac:dyDescent="0.55000000000000004">
      <c r="A1772" s="9" t="str">
        <f>HYPERLINK("PDF\FOIA-FWS-2020-00724-0001771.pdf","FOIA-FWS-2020-00724-0001771")</f>
        <v>FOIA-FWS-2020-00724-0001771</v>
      </c>
      <c r="B1772" s="3" t="s">
        <v>3199</v>
      </c>
      <c r="C1772" s="3" t="s">
        <v>3</v>
      </c>
      <c r="D1772" s="3" t="s">
        <v>33</v>
      </c>
      <c r="E1772" s="3" t="s">
        <v>3201</v>
      </c>
      <c r="F1772" s="4">
        <v>43601.518055555556</v>
      </c>
      <c r="G1772" s="3" t="s">
        <v>2509</v>
      </c>
      <c r="H1772" s="3" t="s">
        <v>3200</v>
      </c>
      <c r="I1772" s="3" t="s">
        <v>7043</v>
      </c>
      <c r="J1772" s="3"/>
      <c r="K1772" s="3"/>
      <c r="L1772" s="5"/>
    </row>
    <row r="1773" spans="1:12" ht="28.8" x14ac:dyDescent="0.55000000000000004">
      <c r="A1773" s="9" t="str">
        <f>HYPERLINK("PDF\FOIA-FWS-2020-00724-0001772.pdf","FOIA-FWS-2020-00724-0001772")</f>
        <v>FOIA-FWS-2020-00724-0001772</v>
      </c>
      <c r="B1773" s="3" t="s">
        <v>3199</v>
      </c>
      <c r="C1773" s="3" t="s">
        <v>234</v>
      </c>
      <c r="D1773" s="3" t="s">
        <v>4</v>
      </c>
      <c r="E1773" s="3" t="s">
        <v>3202</v>
      </c>
      <c r="F1773" s="4">
        <v>43601.518055555556</v>
      </c>
      <c r="G1773" s="3"/>
      <c r="H1773" s="3"/>
      <c r="I1773" s="3" t="s">
        <v>7043</v>
      </c>
      <c r="J1773" s="3"/>
      <c r="K1773" s="3"/>
      <c r="L1773" s="5"/>
    </row>
    <row r="1774" spans="1:12" ht="57.6" x14ac:dyDescent="0.55000000000000004">
      <c r="A1774" s="9" t="str">
        <f>HYPERLINK("PDF\FOIA-FWS-2020-00724-0001773.pdf","FOIA-FWS-2020-00724-0001773")</f>
        <v>FOIA-FWS-2020-00724-0001773</v>
      </c>
      <c r="B1774" s="3" t="s">
        <v>3203</v>
      </c>
      <c r="C1774" s="3" t="s">
        <v>3</v>
      </c>
      <c r="D1774" s="3" t="s">
        <v>33</v>
      </c>
      <c r="E1774" s="3" t="s">
        <v>3204</v>
      </c>
      <c r="F1774" s="4">
        <v>43601.52847222222</v>
      </c>
      <c r="G1774" s="3" t="s">
        <v>899</v>
      </c>
      <c r="H1774" s="3" t="s">
        <v>872</v>
      </c>
      <c r="I1774" s="3" t="s">
        <v>7043</v>
      </c>
      <c r="J1774" s="3"/>
      <c r="K1774" s="3"/>
      <c r="L1774" s="5"/>
    </row>
    <row r="1775" spans="1:12" ht="100.8" x14ac:dyDescent="0.55000000000000004">
      <c r="A1775" s="9" t="str">
        <f>HYPERLINK("PDF\FOIA-FWS-2020-00724-0001774.pdf","FOIA-FWS-2020-00724-0001774")</f>
        <v>FOIA-FWS-2020-00724-0001774</v>
      </c>
      <c r="B1775" s="3" t="s">
        <v>3205</v>
      </c>
      <c r="C1775" s="3" t="s">
        <v>3</v>
      </c>
      <c r="D1775" s="3" t="s">
        <v>33</v>
      </c>
      <c r="E1775" s="3" t="s">
        <v>3206</v>
      </c>
      <c r="F1775" s="4">
        <v>43601.583333333336</v>
      </c>
      <c r="G1775" s="3" t="s">
        <v>955</v>
      </c>
      <c r="H1775" s="3" t="s">
        <v>1119</v>
      </c>
      <c r="I1775" s="3" t="s">
        <v>7043</v>
      </c>
      <c r="J1775" s="3"/>
      <c r="K1775" s="3"/>
      <c r="L1775" s="5"/>
    </row>
    <row r="1776" spans="1:12" ht="28.8" x14ac:dyDescent="0.55000000000000004">
      <c r="A1776" s="9" t="str">
        <f>HYPERLINK("PDF\FOIA-FWS-2020-00724-0001775.pdf","FOIA-FWS-2020-00724-0001775")</f>
        <v>FOIA-FWS-2020-00724-0001775</v>
      </c>
      <c r="B1776" s="3" t="s">
        <v>3207</v>
      </c>
      <c r="C1776" s="3" t="s">
        <v>3</v>
      </c>
      <c r="D1776" s="3" t="s">
        <v>33</v>
      </c>
      <c r="E1776" s="3" t="s">
        <v>3210</v>
      </c>
      <c r="F1776" s="4">
        <v>43601.617361111108</v>
      </c>
      <c r="G1776" s="3" t="s">
        <v>3208</v>
      </c>
      <c r="H1776" s="3" t="s">
        <v>3209</v>
      </c>
      <c r="I1776" s="3" t="s">
        <v>7043</v>
      </c>
      <c r="J1776" s="3"/>
      <c r="K1776" s="3"/>
      <c r="L1776" s="5"/>
    </row>
    <row r="1777" spans="1:12" ht="28.8" x14ac:dyDescent="0.55000000000000004">
      <c r="A1777" s="9" t="str">
        <f>HYPERLINK("PDF\FOIA-FWS-2020-00724-0001776.pdf","FOIA-FWS-2020-00724-0001776")</f>
        <v>FOIA-FWS-2020-00724-0001776</v>
      </c>
      <c r="B1777" s="3" t="s">
        <v>3207</v>
      </c>
      <c r="C1777" s="3" t="s">
        <v>234</v>
      </c>
      <c r="D1777" s="3" t="s">
        <v>33</v>
      </c>
      <c r="E1777" s="3" t="s">
        <v>3211</v>
      </c>
      <c r="F1777" s="4">
        <v>43601.617361111108</v>
      </c>
      <c r="G1777" s="3"/>
      <c r="H1777" s="3"/>
      <c r="I1777" s="3" t="s">
        <v>7043</v>
      </c>
      <c r="J1777" s="3"/>
      <c r="K1777" s="3"/>
      <c r="L1777" s="5"/>
    </row>
    <row r="1778" spans="1:12" ht="28.8" x14ac:dyDescent="0.55000000000000004">
      <c r="A1778" s="9" t="str">
        <f>HYPERLINK("PDF\FOIA-FWS-2020-00724-0001777.pdf","FOIA-FWS-2020-00724-0001777")</f>
        <v>FOIA-FWS-2020-00724-0001777</v>
      </c>
      <c r="B1778" s="3" t="s">
        <v>3212</v>
      </c>
      <c r="C1778" s="3" t="s">
        <v>3</v>
      </c>
      <c r="D1778" s="3" t="s">
        <v>33</v>
      </c>
      <c r="E1778" s="3" t="s">
        <v>3210</v>
      </c>
      <c r="F1778" s="4">
        <v>43601.618750000001</v>
      </c>
      <c r="G1778" s="3" t="s">
        <v>3208</v>
      </c>
      <c r="H1778" s="3" t="s">
        <v>3209</v>
      </c>
      <c r="I1778" s="3" t="s">
        <v>7043</v>
      </c>
      <c r="J1778" s="3"/>
      <c r="K1778" s="3"/>
      <c r="L1778" s="5"/>
    </row>
    <row r="1779" spans="1:12" ht="28.8" x14ac:dyDescent="0.55000000000000004">
      <c r="A1779" s="9" t="str">
        <f>HYPERLINK("PDF\FOIA-FWS-2020-00724-0001778.pdf","FOIA-FWS-2020-00724-0001778")</f>
        <v>FOIA-FWS-2020-00724-0001778</v>
      </c>
      <c r="B1779" s="3" t="s">
        <v>3212</v>
      </c>
      <c r="C1779" s="3" t="s">
        <v>234</v>
      </c>
      <c r="D1779" s="3" t="s">
        <v>33</v>
      </c>
      <c r="E1779" s="3" t="s">
        <v>3211</v>
      </c>
      <c r="F1779" s="4">
        <v>43601.618750000001</v>
      </c>
      <c r="G1779" s="3"/>
      <c r="H1779" s="3"/>
      <c r="I1779" s="3" t="s">
        <v>7043</v>
      </c>
      <c r="J1779" s="3"/>
      <c r="K1779" s="3"/>
      <c r="L1779" s="5"/>
    </row>
    <row r="1780" spans="1:12" ht="100.8" x14ac:dyDescent="0.55000000000000004">
      <c r="A1780" s="9" t="str">
        <f>HYPERLINK("PDF\FOIA-FWS-2020-00724-0001779.pdf","FOIA-FWS-2020-00724-0001779")</f>
        <v>FOIA-FWS-2020-00724-0001779</v>
      </c>
      <c r="B1780" s="3" t="s">
        <v>3213</v>
      </c>
      <c r="C1780" s="3" t="s">
        <v>3</v>
      </c>
      <c r="D1780" s="3" t="s">
        <v>33</v>
      </c>
      <c r="E1780" s="3" t="s">
        <v>3215</v>
      </c>
      <c r="F1780" s="4">
        <v>43601.712500000001</v>
      </c>
      <c r="G1780" s="3" t="s">
        <v>872</v>
      </c>
      <c r="H1780" s="3" t="s">
        <v>3214</v>
      </c>
      <c r="I1780" s="3" t="s">
        <v>7043</v>
      </c>
      <c r="J1780" s="3"/>
      <c r="K1780" s="3"/>
      <c r="L1780" s="5"/>
    </row>
    <row r="1781" spans="1:12" ht="43.2" x14ac:dyDescent="0.55000000000000004">
      <c r="A1781" s="9" t="str">
        <f>HYPERLINK("PDF\FOIA-FWS-2020-00724-0001780.pdf","FOIA-FWS-2020-00724-0001780")</f>
        <v>FOIA-FWS-2020-00724-0001780</v>
      </c>
      <c r="B1781" s="3" t="s">
        <v>3216</v>
      </c>
      <c r="C1781" s="3" t="s">
        <v>3</v>
      </c>
      <c r="D1781" s="3" t="s">
        <v>33</v>
      </c>
      <c r="E1781" s="3" t="s">
        <v>3217</v>
      </c>
      <c r="F1781" s="4">
        <v>43601.78125</v>
      </c>
      <c r="G1781" s="3" t="s">
        <v>1119</v>
      </c>
      <c r="H1781" s="3" t="s">
        <v>1024</v>
      </c>
      <c r="I1781" s="3" t="s">
        <v>7044</v>
      </c>
      <c r="J1781" s="3" t="s">
        <v>7046</v>
      </c>
      <c r="K1781" s="3" t="s">
        <v>7036</v>
      </c>
      <c r="L1781" s="5"/>
    </row>
    <row r="1782" spans="1:12" ht="28.8" x14ac:dyDescent="0.55000000000000004">
      <c r="A1782" s="9" t="str">
        <f>HYPERLINK("PDF\FOIA-FWS-2020-00724-0001781.pdf","FOIA-FWS-2020-00724-0001781")</f>
        <v>FOIA-FWS-2020-00724-0001781</v>
      </c>
      <c r="B1782" s="3" t="s">
        <v>3216</v>
      </c>
      <c r="C1782" s="3" t="s">
        <v>234</v>
      </c>
      <c r="D1782" s="3" t="s">
        <v>33</v>
      </c>
      <c r="E1782" s="3" t="s">
        <v>1255</v>
      </c>
      <c r="F1782" s="4">
        <v>43601.78125</v>
      </c>
      <c r="G1782" s="3"/>
      <c r="H1782" s="3"/>
      <c r="I1782" s="3" t="s">
        <v>7043</v>
      </c>
      <c r="J1782" s="3"/>
      <c r="K1782" s="3"/>
      <c r="L1782" s="5"/>
    </row>
    <row r="1783" spans="1:12" ht="28.8" x14ac:dyDescent="0.55000000000000004">
      <c r="A1783" s="9" t="str">
        <f>HYPERLINK("PDF\FOIA-FWS-2020-00724-0001782.pdf","FOIA-FWS-2020-00724-0001782")</f>
        <v>FOIA-FWS-2020-00724-0001782</v>
      </c>
      <c r="B1783" s="3" t="s">
        <v>3218</v>
      </c>
      <c r="C1783" s="3" t="s">
        <v>3</v>
      </c>
      <c r="D1783" s="3" t="s">
        <v>33</v>
      </c>
      <c r="E1783" s="3" t="s">
        <v>3219</v>
      </c>
      <c r="F1783" s="4">
        <v>43602</v>
      </c>
      <c r="G1783" s="3"/>
      <c r="H1783" s="3"/>
      <c r="I1783" s="3" t="s">
        <v>7043</v>
      </c>
      <c r="J1783" s="3"/>
      <c r="K1783" s="3"/>
      <c r="L1783" s="5"/>
    </row>
    <row r="1784" spans="1:12" ht="43.2" x14ac:dyDescent="0.55000000000000004">
      <c r="A1784" s="9" t="str">
        <f>HYPERLINK("PDF\FOIA-FWS-2020-00724-0001783.pdf","FOIA-FWS-2020-00724-0001783")</f>
        <v>FOIA-FWS-2020-00724-0001783</v>
      </c>
      <c r="B1784" s="3" t="s">
        <v>3220</v>
      </c>
      <c r="C1784" s="3" t="s">
        <v>3</v>
      </c>
      <c r="D1784" s="3" t="s">
        <v>33</v>
      </c>
      <c r="E1784" s="3" t="s">
        <v>3222</v>
      </c>
      <c r="F1784" s="4">
        <v>43602.390277777777</v>
      </c>
      <c r="G1784" s="3" t="s">
        <v>919</v>
      </c>
      <c r="H1784" s="3" t="s">
        <v>3221</v>
      </c>
      <c r="I1784" s="3" t="s">
        <v>7043</v>
      </c>
      <c r="J1784" s="3"/>
      <c r="K1784" s="3"/>
      <c r="L1784" s="5"/>
    </row>
    <row r="1785" spans="1:12" ht="28.8" x14ac:dyDescent="0.55000000000000004">
      <c r="A1785" s="9" t="str">
        <f>HYPERLINK("PDF\FOIA-FWS-2020-00724-0001784.pdf","FOIA-FWS-2020-00724-0001784")</f>
        <v>FOIA-FWS-2020-00724-0001784</v>
      </c>
      <c r="B1785" s="3" t="s">
        <v>3220</v>
      </c>
      <c r="C1785" s="3" t="s">
        <v>234</v>
      </c>
      <c r="D1785" s="3" t="s">
        <v>33</v>
      </c>
      <c r="E1785" s="3" t="s">
        <v>3223</v>
      </c>
      <c r="F1785" s="4">
        <v>43602.390277777777</v>
      </c>
      <c r="G1785" s="3"/>
      <c r="H1785" s="3"/>
      <c r="I1785" s="3" t="s">
        <v>7043</v>
      </c>
      <c r="J1785" s="3"/>
      <c r="K1785" s="3"/>
      <c r="L1785" s="5"/>
    </row>
    <row r="1786" spans="1:12" ht="28.8" x14ac:dyDescent="0.55000000000000004">
      <c r="A1786" s="9" t="str">
        <f>HYPERLINK("PDF\FOIA-FWS-2020-00724-0001785.pdf","FOIA-FWS-2020-00724-0001785")</f>
        <v>FOIA-FWS-2020-00724-0001785</v>
      </c>
      <c r="B1786" s="3" t="s">
        <v>3224</v>
      </c>
      <c r="C1786" s="3" t="s">
        <v>3</v>
      </c>
      <c r="D1786" s="3" t="s">
        <v>33</v>
      </c>
      <c r="E1786" s="3" t="s">
        <v>3225</v>
      </c>
      <c r="F1786" s="4">
        <v>43602.705555555556</v>
      </c>
      <c r="G1786" s="3" t="s">
        <v>1119</v>
      </c>
      <c r="H1786" s="3" t="s">
        <v>955</v>
      </c>
      <c r="I1786" s="3" t="s">
        <v>7043</v>
      </c>
      <c r="J1786" s="3"/>
      <c r="K1786" s="3"/>
      <c r="L1786" s="5"/>
    </row>
    <row r="1787" spans="1:12" ht="28.8" x14ac:dyDescent="0.55000000000000004">
      <c r="A1787" s="9" t="str">
        <f>HYPERLINK("PDF\FOIA-FWS-2020-00724-0001786.pdf","FOIA-FWS-2020-00724-0001786")</f>
        <v>FOIA-FWS-2020-00724-0001786</v>
      </c>
      <c r="B1787" s="3" t="s">
        <v>3224</v>
      </c>
      <c r="C1787" s="3" t="s">
        <v>234</v>
      </c>
      <c r="D1787" s="3" t="s">
        <v>160</v>
      </c>
      <c r="E1787" s="3" t="s">
        <v>3226</v>
      </c>
      <c r="F1787" s="4">
        <v>43602.705555555556</v>
      </c>
      <c r="G1787" s="3"/>
      <c r="H1787" s="3"/>
      <c r="I1787" s="3" t="s">
        <v>7043</v>
      </c>
      <c r="J1787" s="3"/>
      <c r="K1787" s="3"/>
      <c r="L1787" s="5" t="str">
        <f>HYPERLINK("NATIVE_FILES\FOIA-FWS-2020-00724-0001786.xlsx","FOIA-FWS-2020-00724-0001786.xlsx")</f>
        <v>FOIA-FWS-2020-00724-0001786.xlsx</v>
      </c>
    </row>
    <row r="1788" spans="1:12" ht="28.8" x14ac:dyDescent="0.55000000000000004">
      <c r="A1788" s="9" t="str">
        <f>HYPERLINK("PDF\FOIA-FWS-2020-00724-0001787.pdf","FOIA-FWS-2020-00724-0001787")</f>
        <v>FOIA-FWS-2020-00724-0001787</v>
      </c>
      <c r="B1788" s="3" t="s">
        <v>3227</v>
      </c>
      <c r="C1788" s="3" t="s">
        <v>3</v>
      </c>
      <c r="D1788" s="3" t="s">
        <v>33</v>
      </c>
      <c r="E1788" s="3" t="s">
        <v>3228</v>
      </c>
      <c r="F1788" s="4">
        <v>43602.723611111112</v>
      </c>
      <c r="G1788" s="3" t="s">
        <v>872</v>
      </c>
      <c r="H1788" s="3" t="s">
        <v>955</v>
      </c>
      <c r="I1788" s="3" t="s">
        <v>7043</v>
      </c>
      <c r="J1788" s="3"/>
      <c r="K1788" s="3"/>
      <c r="L1788" s="5"/>
    </row>
    <row r="1789" spans="1:12" ht="43.2" x14ac:dyDescent="0.55000000000000004">
      <c r="A1789" s="9" t="str">
        <f>HYPERLINK("PDF\FOIA-FWS-2020-00724-0001788.pdf","FOIA-FWS-2020-00724-0001788")</f>
        <v>FOIA-FWS-2020-00724-0001788</v>
      </c>
      <c r="B1789" s="3" t="s">
        <v>3229</v>
      </c>
      <c r="C1789" s="3" t="s">
        <v>3</v>
      </c>
      <c r="D1789" s="3" t="s">
        <v>33</v>
      </c>
      <c r="E1789" s="3" t="s">
        <v>3231</v>
      </c>
      <c r="F1789" s="4">
        <v>43602.755555555559</v>
      </c>
      <c r="G1789" s="3" t="s">
        <v>872</v>
      </c>
      <c r="H1789" s="3" t="s">
        <v>3230</v>
      </c>
      <c r="I1789" s="3" t="s">
        <v>7043</v>
      </c>
      <c r="J1789" s="3"/>
      <c r="K1789" s="3"/>
      <c r="L1789" s="5"/>
    </row>
    <row r="1790" spans="1:12" ht="28.8" x14ac:dyDescent="0.55000000000000004">
      <c r="A1790" s="9" t="str">
        <f>HYPERLINK("PDF\FOIA-FWS-2020-00724-0001789.pdf","FOIA-FWS-2020-00724-0001789")</f>
        <v>FOIA-FWS-2020-00724-0001789</v>
      </c>
      <c r="B1790" s="3" t="s">
        <v>3229</v>
      </c>
      <c r="C1790" s="3" t="s">
        <v>234</v>
      </c>
      <c r="D1790" s="3" t="s">
        <v>33</v>
      </c>
      <c r="E1790" s="3" t="s">
        <v>3232</v>
      </c>
      <c r="F1790" s="4">
        <v>43602.755555555559</v>
      </c>
      <c r="G1790" s="3"/>
      <c r="H1790" s="3"/>
      <c r="I1790" s="3" t="s">
        <v>7043</v>
      </c>
      <c r="J1790" s="3"/>
      <c r="K1790" s="3"/>
      <c r="L1790" s="5"/>
    </row>
    <row r="1791" spans="1:12" ht="28.8" x14ac:dyDescent="0.55000000000000004">
      <c r="A1791" s="9" t="str">
        <f>HYPERLINK("PDF\FOIA-FWS-2020-00724-0001790.pdf","FOIA-FWS-2020-00724-0001790")</f>
        <v>FOIA-FWS-2020-00724-0001790</v>
      </c>
      <c r="B1791" s="3" t="s">
        <v>3233</v>
      </c>
      <c r="C1791" s="3" t="s">
        <v>3</v>
      </c>
      <c r="D1791" s="3" t="s">
        <v>33</v>
      </c>
      <c r="E1791" s="3" t="s">
        <v>3234</v>
      </c>
      <c r="F1791" s="4">
        <v>43603.95416666667</v>
      </c>
      <c r="G1791" s="3" t="s">
        <v>2509</v>
      </c>
      <c r="H1791" s="3" t="s">
        <v>955</v>
      </c>
      <c r="I1791" s="3" t="s">
        <v>7043</v>
      </c>
      <c r="J1791" s="3"/>
      <c r="K1791" s="3"/>
      <c r="L1791" s="5"/>
    </row>
    <row r="1792" spans="1:12" ht="28.8" x14ac:dyDescent="0.55000000000000004">
      <c r="A1792" s="9" t="str">
        <f>HYPERLINK("PDF\FOIA-FWS-2020-00724-0001791.pdf","FOIA-FWS-2020-00724-0001791")</f>
        <v>FOIA-FWS-2020-00724-0001791</v>
      </c>
      <c r="B1792" s="3" t="s">
        <v>3235</v>
      </c>
      <c r="C1792" s="3" t="s">
        <v>3</v>
      </c>
      <c r="D1792" s="3" t="s">
        <v>33</v>
      </c>
      <c r="E1792" s="3" t="s">
        <v>3236</v>
      </c>
      <c r="F1792" s="4">
        <v>43604</v>
      </c>
      <c r="G1792" s="3"/>
      <c r="H1792" s="3"/>
      <c r="I1792" s="3" t="s">
        <v>7043</v>
      </c>
      <c r="J1792" s="3"/>
      <c r="K1792" s="3"/>
      <c r="L1792" s="5"/>
    </row>
    <row r="1793" spans="1:12" ht="28.8" x14ac:dyDescent="0.55000000000000004">
      <c r="A1793" s="9" t="str">
        <f>HYPERLINK("PDF\FOIA-FWS-2020-00724-0001792.pdf","FOIA-FWS-2020-00724-0001792")</f>
        <v>FOIA-FWS-2020-00724-0001792</v>
      </c>
      <c r="B1793" s="3" t="s">
        <v>3237</v>
      </c>
      <c r="C1793" s="3" t="s">
        <v>3</v>
      </c>
      <c r="D1793" s="3" t="s">
        <v>33</v>
      </c>
      <c r="E1793" s="3" t="s">
        <v>3239</v>
      </c>
      <c r="F1793" s="4">
        <v>43604.581944444442</v>
      </c>
      <c r="G1793" s="3" t="s">
        <v>899</v>
      </c>
      <c r="H1793" s="3" t="s">
        <v>3238</v>
      </c>
      <c r="I1793" s="3" t="s">
        <v>7043</v>
      </c>
      <c r="J1793" s="3"/>
      <c r="K1793" s="3"/>
      <c r="L1793" s="5"/>
    </row>
    <row r="1794" spans="1:12" ht="28.8" x14ac:dyDescent="0.55000000000000004">
      <c r="A1794" s="9" t="str">
        <f>HYPERLINK("PDF\FOIA-FWS-2020-00724-0001793.pdf","FOIA-FWS-2020-00724-0001793")</f>
        <v>FOIA-FWS-2020-00724-0001793</v>
      </c>
      <c r="B1794" s="3" t="s">
        <v>3237</v>
      </c>
      <c r="C1794" s="3" t="s">
        <v>234</v>
      </c>
      <c r="D1794" s="3" t="s">
        <v>33</v>
      </c>
      <c r="E1794" s="3" t="s">
        <v>3232</v>
      </c>
      <c r="F1794" s="4">
        <v>43604.581944444442</v>
      </c>
      <c r="G1794" s="3"/>
      <c r="H1794" s="3"/>
      <c r="I1794" s="3" t="s">
        <v>7043</v>
      </c>
      <c r="J1794" s="3"/>
      <c r="K1794" s="3"/>
      <c r="L1794" s="5"/>
    </row>
    <row r="1795" spans="1:12" ht="57.6" x14ac:dyDescent="0.55000000000000004">
      <c r="A1795" s="9" t="str">
        <f>HYPERLINK("PDF\FOIA-FWS-2020-00724-0001794.pdf","FOIA-FWS-2020-00724-0001794")</f>
        <v>FOIA-FWS-2020-00724-0001794</v>
      </c>
      <c r="B1795" s="3" t="s">
        <v>3240</v>
      </c>
      <c r="C1795" s="3" t="s">
        <v>3</v>
      </c>
      <c r="D1795" s="3" t="s">
        <v>33</v>
      </c>
      <c r="E1795" s="3" t="s">
        <v>3242</v>
      </c>
      <c r="F1795" s="4">
        <v>43604.899305555555</v>
      </c>
      <c r="G1795" s="3" t="s">
        <v>852</v>
      </c>
      <c r="H1795" s="3" t="s">
        <v>3241</v>
      </c>
      <c r="I1795" s="3" t="s">
        <v>7044</v>
      </c>
      <c r="J1795" s="3" t="s">
        <v>7046</v>
      </c>
      <c r="K1795" s="3" t="s">
        <v>7036</v>
      </c>
      <c r="L1795" s="5"/>
    </row>
    <row r="1796" spans="1:12" ht="57.6" x14ac:dyDescent="0.55000000000000004">
      <c r="A1796" s="9" t="str">
        <f>HYPERLINK("PDF\FOIA-FWS-2020-00724-0001795.pdf","FOIA-FWS-2020-00724-0001795")</f>
        <v>FOIA-FWS-2020-00724-0001795</v>
      </c>
      <c r="B1796" s="3" t="s">
        <v>3243</v>
      </c>
      <c r="C1796" s="3" t="s">
        <v>3</v>
      </c>
      <c r="D1796" s="3" t="s">
        <v>33</v>
      </c>
      <c r="E1796" s="3" t="s">
        <v>3245</v>
      </c>
      <c r="F1796" s="4">
        <v>43605.637499999997</v>
      </c>
      <c r="G1796" s="3" t="s">
        <v>852</v>
      </c>
      <c r="H1796" s="3" t="s">
        <v>3244</v>
      </c>
      <c r="I1796" s="3" t="s">
        <v>7043</v>
      </c>
      <c r="J1796" s="3"/>
      <c r="K1796" s="3"/>
      <c r="L1796" s="5"/>
    </row>
    <row r="1797" spans="1:12" ht="28.8" x14ac:dyDescent="0.55000000000000004">
      <c r="A1797" s="9" t="str">
        <f>HYPERLINK("PDF\FOIA-FWS-2020-00724-0001796.pdf","FOIA-FWS-2020-00724-0001796")</f>
        <v>FOIA-FWS-2020-00724-0001796</v>
      </c>
      <c r="B1797" s="3" t="s">
        <v>3243</v>
      </c>
      <c r="C1797" s="3" t="s">
        <v>234</v>
      </c>
      <c r="D1797" s="3" t="s">
        <v>33</v>
      </c>
      <c r="E1797" s="3" t="s">
        <v>3246</v>
      </c>
      <c r="F1797" s="4">
        <v>43605.637499999997</v>
      </c>
      <c r="G1797" s="3"/>
      <c r="H1797" s="3"/>
      <c r="I1797" s="3" t="s">
        <v>7043</v>
      </c>
      <c r="J1797" s="3"/>
      <c r="K1797" s="3"/>
      <c r="L1797" s="5"/>
    </row>
    <row r="1798" spans="1:12" ht="28.8" x14ac:dyDescent="0.55000000000000004">
      <c r="A1798" s="9" t="str">
        <f>HYPERLINK("PDF\FOIA-FWS-2020-00724-0001797.pdf","FOIA-FWS-2020-00724-0001797")</f>
        <v>FOIA-FWS-2020-00724-0001797</v>
      </c>
      <c r="B1798" s="3" t="s">
        <v>3247</v>
      </c>
      <c r="C1798" s="3" t="s">
        <v>3</v>
      </c>
      <c r="D1798" s="3" t="s">
        <v>33</v>
      </c>
      <c r="E1798" s="3" t="s">
        <v>3248</v>
      </c>
      <c r="F1798" s="4">
        <v>43606.445138888892</v>
      </c>
      <c r="G1798" s="3" t="s">
        <v>893</v>
      </c>
      <c r="H1798" s="3" t="s">
        <v>872</v>
      </c>
      <c r="I1798" s="3" t="s">
        <v>7043</v>
      </c>
      <c r="J1798" s="3"/>
      <c r="K1798" s="3"/>
      <c r="L1798" s="5"/>
    </row>
    <row r="1799" spans="1:12" ht="28.8" x14ac:dyDescent="0.55000000000000004">
      <c r="A1799" s="9" t="str">
        <f>HYPERLINK("PDF\FOIA-FWS-2020-00724-0001798.pdf","FOIA-FWS-2020-00724-0001798")</f>
        <v>FOIA-FWS-2020-00724-0001798</v>
      </c>
      <c r="B1799" s="3" t="s">
        <v>3249</v>
      </c>
      <c r="C1799" s="3" t="s">
        <v>3</v>
      </c>
      <c r="D1799" s="3" t="s">
        <v>33</v>
      </c>
      <c r="E1799" s="3" t="s">
        <v>3184</v>
      </c>
      <c r="F1799" s="4">
        <v>43606.506249999999</v>
      </c>
      <c r="G1799" s="3" t="s">
        <v>919</v>
      </c>
      <c r="H1799" s="3" t="s">
        <v>1823</v>
      </c>
      <c r="I1799" s="3" t="s">
        <v>7043</v>
      </c>
      <c r="J1799" s="3"/>
      <c r="K1799" s="3"/>
      <c r="L1799" s="5"/>
    </row>
    <row r="1800" spans="1:12" ht="28.8" x14ac:dyDescent="0.55000000000000004">
      <c r="A1800" s="9" t="str">
        <f>HYPERLINK("PDF\FOIA-FWS-2020-00724-0001799.pdf","FOIA-FWS-2020-00724-0001799")</f>
        <v>FOIA-FWS-2020-00724-0001799</v>
      </c>
      <c r="B1800" s="3" t="s">
        <v>3250</v>
      </c>
      <c r="C1800" s="3" t="s">
        <v>3</v>
      </c>
      <c r="D1800" s="3" t="s">
        <v>33</v>
      </c>
      <c r="E1800" s="3" t="s">
        <v>3251</v>
      </c>
      <c r="F1800" s="4">
        <v>43607.498611111114</v>
      </c>
      <c r="G1800" s="3" t="s">
        <v>963</v>
      </c>
      <c r="H1800" s="3" t="s">
        <v>945</v>
      </c>
      <c r="I1800" s="3" t="s">
        <v>7043</v>
      </c>
      <c r="J1800" s="3"/>
      <c r="K1800" s="3"/>
      <c r="L1800" s="5"/>
    </row>
    <row r="1801" spans="1:12" ht="28.8" x14ac:dyDescent="0.55000000000000004">
      <c r="A1801" s="9" t="str">
        <f>HYPERLINK("PDF\FOIA-FWS-2020-00724-0001800.pdf","FOIA-FWS-2020-00724-0001800")</f>
        <v>FOIA-FWS-2020-00724-0001800</v>
      </c>
      <c r="B1801" s="3" t="s">
        <v>3252</v>
      </c>
      <c r="C1801" s="3" t="s">
        <v>3</v>
      </c>
      <c r="D1801" s="3" t="s">
        <v>33</v>
      </c>
      <c r="E1801" s="3" t="s">
        <v>3253</v>
      </c>
      <c r="F1801" s="4">
        <v>43607.539583333331</v>
      </c>
      <c r="G1801" s="3" t="s">
        <v>963</v>
      </c>
      <c r="H1801" s="3" t="s">
        <v>872</v>
      </c>
      <c r="I1801" s="3" t="s">
        <v>7043</v>
      </c>
      <c r="J1801" s="3"/>
      <c r="K1801" s="3"/>
      <c r="L1801" s="5"/>
    </row>
    <row r="1802" spans="1:12" ht="28.8" x14ac:dyDescent="0.55000000000000004">
      <c r="A1802" s="9" t="str">
        <f>HYPERLINK("PDF\FOIA-FWS-2020-00724-0001801.pdf","FOIA-FWS-2020-00724-0001801")</f>
        <v>FOIA-FWS-2020-00724-0001801</v>
      </c>
      <c r="B1802" s="3" t="s">
        <v>3254</v>
      </c>
      <c r="C1802" s="3" t="s">
        <v>3</v>
      </c>
      <c r="D1802" s="3" t="s">
        <v>33</v>
      </c>
      <c r="E1802" s="3" t="s">
        <v>3256</v>
      </c>
      <c r="F1802" s="4">
        <v>43607.690972222219</v>
      </c>
      <c r="G1802" s="3" t="s">
        <v>872</v>
      </c>
      <c r="H1802" s="3" t="s">
        <v>3255</v>
      </c>
      <c r="I1802" s="3" t="s">
        <v>7043</v>
      </c>
      <c r="J1802" s="3"/>
      <c r="K1802" s="3"/>
      <c r="L1802" s="5"/>
    </row>
    <row r="1803" spans="1:12" ht="28.8" x14ac:dyDescent="0.55000000000000004">
      <c r="A1803" s="9" t="str">
        <f>HYPERLINK("PDF\FOIA-FWS-2020-00724-0001802.pdf","FOIA-FWS-2020-00724-0001802")</f>
        <v>FOIA-FWS-2020-00724-0001802</v>
      </c>
      <c r="B1803" s="3" t="s">
        <v>3257</v>
      </c>
      <c r="C1803" s="3" t="s">
        <v>3</v>
      </c>
      <c r="D1803" s="3" t="s">
        <v>33</v>
      </c>
      <c r="E1803" s="3" t="s">
        <v>3258</v>
      </c>
      <c r="F1803" s="4">
        <v>43608.629166666666</v>
      </c>
      <c r="G1803" s="3" t="s">
        <v>955</v>
      </c>
      <c r="H1803" s="3" t="s">
        <v>872</v>
      </c>
      <c r="I1803" s="3" t="s">
        <v>7043</v>
      </c>
      <c r="J1803" s="3"/>
      <c r="K1803" s="3"/>
      <c r="L1803" s="5"/>
    </row>
    <row r="1804" spans="1:12" ht="28.8" x14ac:dyDescent="0.55000000000000004">
      <c r="A1804" s="9" t="str">
        <f>HYPERLINK("PDF\FOIA-FWS-2020-00724-0001803.pdf","FOIA-FWS-2020-00724-0001803")</f>
        <v>FOIA-FWS-2020-00724-0001803</v>
      </c>
      <c r="B1804" s="3" t="s">
        <v>3257</v>
      </c>
      <c r="C1804" s="3" t="s">
        <v>234</v>
      </c>
      <c r="D1804" s="3" t="s">
        <v>33</v>
      </c>
      <c r="E1804" s="3" t="s">
        <v>3259</v>
      </c>
      <c r="F1804" s="4">
        <v>43608.629166666666</v>
      </c>
      <c r="G1804" s="3"/>
      <c r="H1804" s="3"/>
      <c r="I1804" s="3" t="s">
        <v>7043</v>
      </c>
      <c r="J1804" s="3"/>
      <c r="K1804" s="3"/>
      <c r="L1804" s="5"/>
    </row>
    <row r="1805" spans="1:12" ht="28.8" x14ac:dyDescent="0.55000000000000004">
      <c r="A1805" s="9" t="str">
        <f>HYPERLINK("PDF\FOIA-FWS-2020-00724-0001804.pdf","FOIA-FWS-2020-00724-0001804")</f>
        <v>FOIA-FWS-2020-00724-0001804</v>
      </c>
      <c r="B1805" s="3" t="s">
        <v>3260</v>
      </c>
      <c r="C1805" s="3" t="s">
        <v>3</v>
      </c>
      <c r="D1805" s="3" t="s">
        <v>33</v>
      </c>
      <c r="E1805" s="3" t="s">
        <v>3261</v>
      </c>
      <c r="F1805" s="4">
        <v>43608.730555555558</v>
      </c>
      <c r="G1805" s="3" t="s">
        <v>2022</v>
      </c>
      <c r="H1805" s="3" t="s">
        <v>963</v>
      </c>
      <c r="I1805" s="3" t="s">
        <v>7043</v>
      </c>
      <c r="J1805" s="3"/>
      <c r="K1805" s="3" t="s">
        <v>7058</v>
      </c>
      <c r="L1805" s="5"/>
    </row>
    <row r="1806" spans="1:12" ht="28.8" x14ac:dyDescent="0.55000000000000004">
      <c r="A1806" s="9" t="str">
        <f>HYPERLINK("PDF\FOIA-FWS-2020-00724-0001805.pdf","FOIA-FWS-2020-00724-0001805")</f>
        <v>FOIA-FWS-2020-00724-0001805</v>
      </c>
      <c r="B1806" s="3" t="s">
        <v>3262</v>
      </c>
      <c r="C1806" s="3" t="s">
        <v>3</v>
      </c>
      <c r="D1806" s="3" t="s">
        <v>33</v>
      </c>
      <c r="E1806" s="3" t="s">
        <v>3263</v>
      </c>
      <c r="F1806" s="4">
        <v>43608.731944444444</v>
      </c>
      <c r="G1806" s="3" t="s">
        <v>955</v>
      </c>
      <c r="H1806" s="3" t="s">
        <v>872</v>
      </c>
      <c r="I1806" s="3" t="s">
        <v>7043</v>
      </c>
      <c r="J1806" s="3"/>
      <c r="K1806" s="3"/>
      <c r="L1806" s="5"/>
    </row>
    <row r="1807" spans="1:12" ht="28.8" x14ac:dyDescent="0.55000000000000004">
      <c r="A1807" s="9" t="str">
        <f>HYPERLINK("PDF\FOIA-FWS-2020-00724-0001806.pdf","FOIA-FWS-2020-00724-0001806")</f>
        <v>FOIA-FWS-2020-00724-0001806</v>
      </c>
      <c r="B1807" s="3" t="s">
        <v>3262</v>
      </c>
      <c r="C1807" s="3" t="s">
        <v>234</v>
      </c>
      <c r="D1807" s="3" t="s">
        <v>33</v>
      </c>
      <c r="E1807" s="3" t="s">
        <v>3264</v>
      </c>
      <c r="F1807" s="4">
        <v>43608.731944444444</v>
      </c>
      <c r="G1807" s="3"/>
      <c r="H1807" s="3"/>
      <c r="I1807" s="3" t="s">
        <v>7043</v>
      </c>
      <c r="J1807" s="3"/>
      <c r="K1807" s="3"/>
      <c r="L1807" s="5"/>
    </row>
    <row r="1808" spans="1:12" ht="28.8" x14ac:dyDescent="0.55000000000000004">
      <c r="A1808" s="9" t="str">
        <f>HYPERLINK("PDF\FOIA-FWS-2020-00724-0001807.pdf","FOIA-FWS-2020-00724-0001807")</f>
        <v>FOIA-FWS-2020-00724-0001807</v>
      </c>
      <c r="B1808" s="3" t="s">
        <v>3265</v>
      </c>
      <c r="C1808" s="3" t="s">
        <v>3</v>
      </c>
      <c r="D1808" s="3" t="s">
        <v>33</v>
      </c>
      <c r="E1808" s="3" t="s">
        <v>3266</v>
      </c>
      <c r="F1808" s="4">
        <v>43608.73333333333</v>
      </c>
      <c r="G1808" s="3" t="s">
        <v>963</v>
      </c>
      <c r="H1808" s="3" t="s">
        <v>945</v>
      </c>
      <c r="I1808" s="3" t="s">
        <v>7043</v>
      </c>
      <c r="J1808" s="3"/>
      <c r="K1808" s="3"/>
      <c r="L1808" s="5"/>
    </row>
    <row r="1809" spans="1:12" ht="28.8" x14ac:dyDescent="0.55000000000000004">
      <c r="A1809" s="9" t="str">
        <f>HYPERLINK("PDF\FOIA-FWS-2020-00724-0001808.pdf","FOIA-FWS-2020-00724-0001808")</f>
        <v>FOIA-FWS-2020-00724-0001808</v>
      </c>
      <c r="B1809" s="3" t="s">
        <v>3265</v>
      </c>
      <c r="C1809" s="3" t="s">
        <v>234</v>
      </c>
      <c r="D1809" s="3" t="s">
        <v>33</v>
      </c>
      <c r="E1809" s="3" t="s">
        <v>3267</v>
      </c>
      <c r="F1809" s="4">
        <v>43608.73333333333</v>
      </c>
      <c r="G1809" s="3"/>
      <c r="H1809" s="3"/>
      <c r="I1809" s="3" t="s">
        <v>7043</v>
      </c>
      <c r="J1809" s="3"/>
      <c r="K1809" s="3"/>
      <c r="L1809" s="5"/>
    </row>
    <row r="1810" spans="1:12" ht="72" x14ac:dyDescent="0.55000000000000004">
      <c r="A1810" s="9" t="str">
        <f>HYPERLINK("PDF\FOIA-FWS-2020-00724-0001809.pdf","FOIA-FWS-2020-00724-0001809")</f>
        <v>FOIA-FWS-2020-00724-0001809</v>
      </c>
      <c r="B1810" s="3" t="s">
        <v>3268</v>
      </c>
      <c r="C1810" s="3" t="s">
        <v>3</v>
      </c>
      <c r="D1810" s="3" t="s">
        <v>33</v>
      </c>
      <c r="E1810" s="3" t="s">
        <v>3269</v>
      </c>
      <c r="F1810" s="4">
        <v>43609.446527777778</v>
      </c>
      <c r="G1810" s="3" t="s">
        <v>872</v>
      </c>
      <c r="H1810" s="3" t="s">
        <v>955</v>
      </c>
      <c r="I1810" s="3" t="s">
        <v>7043</v>
      </c>
      <c r="J1810" s="3"/>
      <c r="K1810" s="3"/>
      <c r="L1810" s="5"/>
    </row>
    <row r="1811" spans="1:12" ht="72" x14ac:dyDescent="0.55000000000000004">
      <c r="A1811" s="9" t="str">
        <f>HYPERLINK("PDF\FOIA-FWS-2020-00724-0001810.pdf","FOIA-FWS-2020-00724-0001810")</f>
        <v>FOIA-FWS-2020-00724-0001810</v>
      </c>
      <c r="B1811" s="3" t="s">
        <v>3270</v>
      </c>
      <c r="C1811" s="3" t="s">
        <v>3</v>
      </c>
      <c r="D1811" s="3" t="s">
        <v>33</v>
      </c>
      <c r="E1811" s="3" t="s">
        <v>3271</v>
      </c>
      <c r="F1811" s="4">
        <v>43609.546527777777</v>
      </c>
      <c r="G1811" s="3" t="s">
        <v>955</v>
      </c>
      <c r="H1811" s="3" t="s">
        <v>872</v>
      </c>
      <c r="I1811" s="3" t="s">
        <v>7043</v>
      </c>
      <c r="J1811" s="3"/>
      <c r="K1811" s="3"/>
      <c r="L1811" s="5"/>
    </row>
    <row r="1812" spans="1:12" ht="57.6" x14ac:dyDescent="0.55000000000000004">
      <c r="A1812" s="9" t="str">
        <f>HYPERLINK("PDF\FOIA-FWS-2020-00724-0001811.pdf","FOIA-FWS-2020-00724-0001811")</f>
        <v>FOIA-FWS-2020-00724-0001811</v>
      </c>
      <c r="B1812" s="3" t="s">
        <v>3272</v>
      </c>
      <c r="C1812" s="3" t="s">
        <v>3</v>
      </c>
      <c r="D1812" s="3" t="s">
        <v>33</v>
      </c>
      <c r="E1812" s="3" t="s">
        <v>3274</v>
      </c>
      <c r="F1812" s="4">
        <v>43609.677777777775</v>
      </c>
      <c r="G1812" s="3" t="s">
        <v>872</v>
      </c>
      <c r="H1812" s="3" t="s">
        <v>3273</v>
      </c>
      <c r="I1812" s="3" t="s">
        <v>7043</v>
      </c>
      <c r="J1812" s="3"/>
      <c r="K1812" s="3"/>
      <c r="L1812" s="5"/>
    </row>
    <row r="1813" spans="1:12" ht="28.8" x14ac:dyDescent="0.55000000000000004">
      <c r="A1813" s="9" t="str">
        <f>HYPERLINK("PDF\FOIA-FWS-2020-00724-0001812.pdf","FOIA-FWS-2020-00724-0001812")</f>
        <v>FOIA-FWS-2020-00724-0001812</v>
      </c>
      <c r="B1813" s="3" t="s">
        <v>3272</v>
      </c>
      <c r="C1813" s="3" t="s">
        <v>234</v>
      </c>
      <c r="D1813" s="3" t="s">
        <v>33</v>
      </c>
      <c r="E1813" s="3" t="s">
        <v>3275</v>
      </c>
      <c r="F1813" s="4">
        <v>43609.677777777775</v>
      </c>
      <c r="G1813" s="3"/>
      <c r="H1813" s="3"/>
      <c r="I1813" s="3" t="s">
        <v>7043</v>
      </c>
      <c r="J1813" s="3"/>
      <c r="K1813" s="3"/>
      <c r="L1813" s="5"/>
    </row>
    <row r="1814" spans="1:12" ht="28.8" x14ac:dyDescent="0.55000000000000004">
      <c r="A1814" s="9" t="str">
        <f>HYPERLINK("PDF\FOIA-FWS-2020-00724-0001813.pdf","FOIA-FWS-2020-00724-0001813")</f>
        <v>FOIA-FWS-2020-00724-0001813</v>
      </c>
      <c r="B1814" s="3" t="s">
        <v>3276</v>
      </c>
      <c r="C1814" s="3" t="s">
        <v>3</v>
      </c>
      <c r="D1814" s="3" t="s">
        <v>33</v>
      </c>
      <c r="E1814" s="3" t="s">
        <v>3278</v>
      </c>
      <c r="F1814" s="4">
        <v>43609.683333333334</v>
      </c>
      <c r="G1814" s="3" t="s">
        <v>872</v>
      </c>
      <c r="H1814" s="3" t="s">
        <v>3277</v>
      </c>
      <c r="I1814" s="3" t="s">
        <v>7043</v>
      </c>
      <c r="J1814" s="3"/>
      <c r="K1814" s="3"/>
      <c r="L1814" s="5"/>
    </row>
    <row r="1815" spans="1:12" ht="28.8" x14ac:dyDescent="0.55000000000000004">
      <c r="A1815" s="9" t="str">
        <f>HYPERLINK("PDF\FOIA-FWS-2020-00724-0001814.pdf","FOIA-FWS-2020-00724-0001814")</f>
        <v>FOIA-FWS-2020-00724-0001814</v>
      </c>
      <c r="B1815" s="3" t="s">
        <v>3276</v>
      </c>
      <c r="C1815" s="3" t="s">
        <v>234</v>
      </c>
      <c r="D1815" s="3" t="s">
        <v>33</v>
      </c>
      <c r="E1815" s="3" t="s">
        <v>3275</v>
      </c>
      <c r="F1815" s="4">
        <v>43609.683333333334</v>
      </c>
      <c r="G1815" s="3"/>
      <c r="H1815" s="3"/>
      <c r="I1815" s="3" t="s">
        <v>7043</v>
      </c>
      <c r="J1815" s="3"/>
      <c r="K1815" s="3"/>
      <c r="L1815" s="5"/>
    </row>
    <row r="1816" spans="1:12" ht="28.8" x14ac:dyDescent="0.55000000000000004">
      <c r="A1816" s="9" t="str">
        <f>HYPERLINK("PDF\FOIA-FWS-2020-00724-0001815.pdf","FOIA-FWS-2020-00724-0001815")</f>
        <v>FOIA-FWS-2020-00724-0001815</v>
      </c>
      <c r="B1816" s="3" t="s">
        <v>3279</v>
      </c>
      <c r="C1816" s="3" t="s">
        <v>3</v>
      </c>
      <c r="D1816" s="3" t="s">
        <v>33</v>
      </c>
      <c r="E1816" s="3" t="s">
        <v>3281</v>
      </c>
      <c r="F1816" s="4">
        <v>43609.686111111114</v>
      </c>
      <c r="G1816" s="3" t="s">
        <v>876</v>
      </c>
      <c r="H1816" s="3" t="s">
        <v>3280</v>
      </c>
      <c r="I1816" s="3" t="s">
        <v>7043</v>
      </c>
      <c r="J1816" s="3"/>
      <c r="K1816" s="3"/>
      <c r="L1816" s="5"/>
    </row>
    <row r="1817" spans="1:12" ht="28.8" x14ac:dyDescent="0.55000000000000004">
      <c r="A1817" s="9" t="str">
        <f>HYPERLINK("PDF\FOIA-FWS-2020-00724-0001816.pdf","FOIA-FWS-2020-00724-0001816")</f>
        <v>FOIA-FWS-2020-00724-0001816</v>
      </c>
      <c r="B1817" s="3" t="s">
        <v>3279</v>
      </c>
      <c r="C1817" s="3" t="s">
        <v>234</v>
      </c>
      <c r="D1817" s="3" t="s">
        <v>33</v>
      </c>
      <c r="E1817" s="3" t="s">
        <v>3275</v>
      </c>
      <c r="F1817" s="4">
        <v>43609.686111111114</v>
      </c>
      <c r="G1817" s="3"/>
      <c r="H1817" s="3"/>
      <c r="I1817" s="3" t="s">
        <v>7043</v>
      </c>
      <c r="J1817" s="3"/>
      <c r="K1817" s="3"/>
      <c r="L1817" s="5"/>
    </row>
    <row r="1818" spans="1:12" ht="28.8" x14ac:dyDescent="0.55000000000000004">
      <c r="A1818" s="9" t="str">
        <f>HYPERLINK("PDF\FOIA-FWS-2020-00724-0001817.pdf","FOIA-FWS-2020-00724-0001817")</f>
        <v>FOIA-FWS-2020-00724-0001817</v>
      </c>
      <c r="B1818" s="3" t="s">
        <v>3282</v>
      </c>
      <c r="C1818" s="3" t="s">
        <v>3</v>
      </c>
      <c r="D1818" s="3" t="s">
        <v>33</v>
      </c>
      <c r="E1818" s="3" t="s">
        <v>3283</v>
      </c>
      <c r="F1818" s="4">
        <v>43613.45416666667</v>
      </c>
      <c r="G1818" s="3" t="s">
        <v>963</v>
      </c>
      <c r="H1818" s="3" t="s">
        <v>955</v>
      </c>
      <c r="I1818" s="3" t="s">
        <v>7043</v>
      </c>
      <c r="J1818" s="3"/>
      <c r="K1818" s="3"/>
      <c r="L1818" s="5"/>
    </row>
    <row r="1819" spans="1:12" ht="28.8" x14ac:dyDescent="0.55000000000000004">
      <c r="A1819" s="9" t="str">
        <f>HYPERLINK("PDF\FOIA-FWS-2020-00724-0001818.pdf","FOIA-FWS-2020-00724-0001818")</f>
        <v>FOIA-FWS-2020-00724-0001818</v>
      </c>
      <c r="B1819" s="3" t="s">
        <v>3282</v>
      </c>
      <c r="C1819" s="3" t="s">
        <v>234</v>
      </c>
      <c r="D1819" s="3" t="s">
        <v>33</v>
      </c>
      <c r="E1819" s="3" t="s">
        <v>3284</v>
      </c>
      <c r="F1819" s="4">
        <v>43613.45416666667</v>
      </c>
      <c r="G1819" s="3"/>
      <c r="H1819" s="3"/>
      <c r="I1819" s="3" t="s">
        <v>7043</v>
      </c>
      <c r="J1819" s="3"/>
      <c r="K1819" s="3"/>
      <c r="L1819" s="5"/>
    </row>
    <row r="1820" spans="1:12" ht="28.8" x14ac:dyDescent="0.55000000000000004">
      <c r="A1820" s="9" t="str">
        <f>HYPERLINK("PDF\FOIA-FWS-2020-00724-0001819.pdf","FOIA-FWS-2020-00724-0001819")</f>
        <v>FOIA-FWS-2020-00724-0001819</v>
      </c>
      <c r="B1820" s="3" t="s">
        <v>3285</v>
      </c>
      <c r="C1820" s="3" t="s">
        <v>3</v>
      </c>
      <c r="D1820" s="3" t="s">
        <v>33</v>
      </c>
      <c r="E1820" s="3" t="s">
        <v>3286</v>
      </c>
      <c r="F1820" s="4">
        <v>43613.545138888891</v>
      </c>
      <c r="G1820" s="3" t="s">
        <v>955</v>
      </c>
      <c r="H1820" s="3" t="s">
        <v>963</v>
      </c>
      <c r="I1820" s="3" t="s">
        <v>7043</v>
      </c>
      <c r="J1820" s="3"/>
      <c r="K1820" s="3"/>
      <c r="L1820" s="5"/>
    </row>
    <row r="1821" spans="1:12" ht="28.8" x14ac:dyDescent="0.55000000000000004">
      <c r="A1821" s="9" t="str">
        <f>HYPERLINK("PDF\FOIA-FWS-2020-00724-0001820.pdf","FOIA-FWS-2020-00724-0001820")</f>
        <v>FOIA-FWS-2020-00724-0001820</v>
      </c>
      <c r="B1821" s="3" t="s">
        <v>3285</v>
      </c>
      <c r="C1821" s="3" t="s">
        <v>234</v>
      </c>
      <c r="D1821" s="3" t="s">
        <v>33</v>
      </c>
      <c r="E1821" s="3" t="s">
        <v>3287</v>
      </c>
      <c r="F1821" s="4">
        <v>43613.545138888891</v>
      </c>
      <c r="G1821" s="3"/>
      <c r="H1821" s="3"/>
      <c r="I1821" s="3" t="s">
        <v>7043</v>
      </c>
      <c r="J1821" s="3"/>
      <c r="K1821" s="3"/>
      <c r="L1821" s="5"/>
    </row>
    <row r="1822" spans="1:12" ht="43.2" x14ac:dyDescent="0.55000000000000004">
      <c r="A1822" s="9" t="str">
        <f>HYPERLINK("PDF\FOIA-FWS-2020-00724-0001821.pdf","FOIA-FWS-2020-00724-0001821")</f>
        <v>FOIA-FWS-2020-00724-0001821</v>
      </c>
      <c r="B1822" s="3" t="s">
        <v>3288</v>
      </c>
      <c r="C1822" s="3" t="s">
        <v>3</v>
      </c>
      <c r="D1822" s="3" t="s">
        <v>33</v>
      </c>
      <c r="E1822" s="3" t="s">
        <v>3290</v>
      </c>
      <c r="F1822" s="4">
        <v>43613.65625</v>
      </c>
      <c r="G1822" s="3" t="s">
        <v>945</v>
      </c>
      <c r="H1822" s="3" t="s">
        <v>3289</v>
      </c>
      <c r="I1822" s="3" t="s">
        <v>864</v>
      </c>
      <c r="J1822" s="3" t="s">
        <v>7046</v>
      </c>
      <c r="K1822" s="3" t="s">
        <v>7036</v>
      </c>
      <c r="L1822" s="5"/>
    </row>
    <row r="1823" spans="1:12" ht="72" x14ac:dyDescent="0.55000000000000004">
      <c r="A1823" s="9" t="str">
        <f>HYPERLINK("PDF\FOIA-FWS-2020-00724-0001822.pdf","FOIA-FWS-2020-00724-0001822")</f>
        <v>FOIA-FWS-2020-00724-0001822</v>
      </c>
      <c r="B1823" s="3" t="s">
        <v>3288</v>
      </c>
      <c r="C1823" s="3" t="s">
        <v>234</v>
      </c>
      <c r="D1823" s="3" t="s">
        <v>33</v>
      </c>
      <c r="E1823" s="3" t="s">
        <v>867</v>
      </c>
      <c r="F1823" s="4">
        <v>43613.65625</v>
      </c>
      <c r="G1823" s="3" t="s">
        <v>1337</v>
      </c>
      <c r="H1823" s="3" t="s">
        <v>3291</v>
      </c>
      <c r="I1823" s="3" t="s">
        <v>864</v>
      </c>
      <c r="J1823" s="3" t="s">
        <v>7046</v>
      </c>
      <c r="K1823" s="3" t="s">
        <v>7036</v>
      </c>
      <c r="L1823" s="5"/>
    </row>
    <row r="1824" spans="1:12" ht="43.2" x14ac:dyDescent="0.55000000000000004">
      <c r="A1824" s="9" t="str">
        <f>HYPERLINK("PDF\FOIA-FWS-2020-00724-0001823.pdf","FOIA-FWS-2020-00724-0001823")</f>
        <v>FOIA-FWS-2020-00724-0001823</v>
      </c>
      <c r="B1824" s="3" t="s">
        <v>3292</v>
      </c>
      <c r="C1824" s="3" t="s">
        <v>3</v>
      </c>
      <c r="D1824" s="3" t="s">
        <v>33</v>
      </c>
      <c r="E1824" s="3" t="s">
        <v>3293</v>
      </c>
      <c r="F1824" s="4">
        <v>43614</v>
      </c>
      <c r="G1824" s="3"/>
      <c r="H1824" s="3"/>
      <c r="I1824" s="3" t="s">
        <v>7044</v>
      </c>
      <c r="J1824" s="3" t="s">
        <v>7046</v>
      </c>
      <c r="K1824" s="3" t="s">
        <v>7036</v>
      </c>
      <c r="L1824" s="5"/>
    </row>
    <row r="1825" spans="1:12" ht="28.8" x14ac:dyDescent="0.55000000000000004">
      <c r="A1825" s="9" t="str">
        <f>HYPERLINK("PDF\FOIA-FWS-2020-00724-0001824.pdf","FOIA-FWS-2020-00724-0001824")</f>
        <v>FOIA-FWS-2020-00724-0001824</v>
      </c>
      <c r="B1825" s="3" t="s">
        <v>3294</v>
      </c>
      <c r="C1825" s="3" t="s">
        <v>3</v>
      </c>
      <c r="D1825" s="3" t="s">
        <v>33</v>
      </c>
      <c r="E1825" s="3" t="s">
        <v>3295</v>
      </c>
      <c r="F1825" s="4">
        <v>43614</v>
      </c>
      <c r="G1825" s="3"/>
      <c r="H1825" s="3"/>
      <c r="I1825" s="3" t="s">
        <v>7043</v>
      </c>
      <c r="J1825" s="3"/>
      <c r="K1825" s="3"/>
      <c r="L1825" s="5"/>
    </row>
    <row r="1826" spans="1:12" ht="28.8" x14ac:dyDescent="0.55000000000000004">
      <c r="A1826" s="9" t="str">
        <f>HYPERLINK("PDF\FOIA-FWS-2020-00724-0001825.pdf","FOIA-FWS-2020-00724-0001825")</f>
        <v>FOIA-FWS-2020-00724-0001825</v>
      </c>
      <c r="B1826" s="3" t="s">
        <v>3296</v>
      </c>
      <c r="C1826" s="3" t="s">
        <v>3</v>
      </c>
      <c r="D1826" s="3" t="s">
        <v>33</v>
      </c>
      <c r="E1826" s="3" t="s">
        <v>3293</v>
      </c>
      <c r="F1826" s="4">
        <v>43614</v>
      </c>
      <c r="G1826" s="3"/>
      <c r="H1826" s="3"/>
      <c r="I1826" s="3" t="s">
        <v>7042</v>
      </c>
      <c r="J1826" s="3" t="s">
        <v>7046</v>
      </c>
      <c r="K1826" s="3" t="s">
        <v>7036</v>
      </c>
      <c r="L1826" s="5"/>
    </row>
    <row r="1827" spans="1:12" ht="28.8" x14ac:dyDescent="0.55000000000000004">
      <c r="A1827" s="9" t="str">
        <f>HYPERLINK("PDF\FOIA-FWS-2020-00724-0001826.pdf","FOIA-FWS-2020-00724-0001826")</f>
        <v>FOIA-FWS-2020-00724-0001826</v>
      </c>
      <c r="B1827" s="3" t="s">
        <v>3297</v>
      </c>
      <c r="C1827" s="3" t="s">
        <v>3</v>
      </c>
      <c r="D1827" s="3" t="s">
        <v>33</v>
      </c>
      <c r="E1827" s="3" t="s">
        <v>3299</v>
      </c>
      <c r="F1827" s="4">
        <v>43614.489583333336</v>
      </c>
      <c r="G1827" s="3" t="s">
        <v>919</v>
      </c>
      <c r="H1827" s="3" t="s">
        <v>3298</v>
      </c>
      <c r="I1827" s="3" t="s">
        <v>7043</v>
      </c>
      <c r="J1827" s="3"/>
      <c r="K1827" s="3"/>
      <c r="L1827" s="5"/>
    </row>
    <row r="1828" spans="1:12" ht="28.8" x14ac:dyDescent="0.55000000000000004">
      <c r="A1828" s="9" t="str">
        <f>HYPERLINK("PDF\FOIA-FWS-2020-00724-0001827.pdf","FOIA-FWS-2020-00724-0001827")</f>
        <v>FOIA-FWS-2020-00724-0001827</v>
      </c>
      <c r="B1828" s="3" t="s">
        <v>3297</v>
      </c>
      <c r="C1828" s="3" t="s">
        <v>234</v>
      </c>
      <c r="D1828" s="3" t="s">
        <v>33</v>
      </c>
      <c r="E1828" s="3" t="s">
        <v>3275</v>
      </c>
      <c r="F1828" s="4">
        <v>43614.489583333336</v>
      </c>
      <c r="G1828" s="3"/>
      <c r="H1828" s="3"/>
      <c r="I1828" s="3" t="s">
        <v>7043</v>
      </c>
      <c r="J1828" s="3"/>
      <c r="K1828" s="3"/>
      <c r="L1828" s="5"/>
    </row>
    <row r="1829" spans="1:12" ht="43.2" x14ac:dyDescent="0.55000000000000004">
      <c r="A1829" s="9" t="str">
        <f>HYPERLINK("PDF\FOIA-FWS-2020-00724-0001828.pdf","FOIA-FWS-2020-00724-0001828")</f>
        <v>FOIA-FWS-2020-00724-0001828</v>
      </c>
      <c r="B1829" s="3" t="s">
        <v>3300</v>
      </c>
      <c r="C1829" s="3" t="s">
        <v>3</v>
      </c>
      <c r="D1829" s="3" t="s">
        <v>33</v>
      </c>
      <c r="E1829" s="3" t="s">
        <v>3302</v>
      </c>
      <c r="F1829" s="4">
        <v>43614.643750000003</v>
      </c>
      <c r="G1829" s="3" t="s">
        <v>963</v>
      </c>
      <c r="H1829" s="3" t="s">
        <v>3301</v>
      </c>
      <c r="I1829" s="3" t="s">
        <v>7043</v>
      </c>
      <c r="J1829" s="3"/>
      <c r="K1829" s="3"/>
      <c r="L1829" s="5"/>
    </row>
    <row r="1830" spans="1:12" ht="28.8" x14ac:dyDescent="0.55000000000000004">
      <c r="A1830" s="9" t="str">
        <f>HYPERLINK("PDF\FOIA-FWS-2020-00724-0001829.pdf","FOIA-FWS-2020-00724-0001829")</f>
        <v>FOIA-FWS-2020-00724-0001829</v>
      </c>
      <c r="B1830" s="3" t="s">
        <v>3303</v>
      </c>
      <c r="C1830" s="3" t="s">
        <v>3</v>
      </c>
      <c r="D1830" s="3" t="s">
        <v>33</v>
      </c>
      <c r="E1830" s="3" t="s">
        <v>3304</v>
      </c>
      <c r="F1830" s="4">
        <v>43614.724305555559</v>
      </c>
      <c r="G1830" s="3" t="s">
        <v>1119</v>
      </c>
      <c r="H1830" s="3" t="s">
        <v>955</v>
      </c>
      <c r="I1830" s="3" t="s">
        <v>7043</v>
      </c>
      <c r="J1830" s="3"/>
      <c r="K1830" s="3"/>
      <c r="L1830" s="5"/>
    </row>
    <row r="1831" spans="1:12" ht="28.8" x14ac:dyDescent="0.55000000000000004">
      <c r="A1831" s="9" t="str">
        <f>HYPERLINK("PDF\FOIA-FWS-2020-00724-0001830.pdf","FOIA-FWS-2020-00724-0001830")</f>
        <v>FOIA-FWS-2020-00724-0001830</v>
      </c>
      <c r="B1831" s="3" t="s">
        <v>3303</v>
      </c>
      <c r="C1831" s="3" t="s">
        <v>234</v>
      </c>
      <c r="D1831" s="3" t="s">
        <v>33</v>
      </c>
      <c r="E1831" s="3" t="s">
        <v>3305</v>
      </c>
      <c r="F1831" s="4">
        <v>43614.724305555559</v>
      </c>
      <c r="G1831" s="3"/>
      <c r="H1831" s="3"/>
      <c r="I1831" s="3" t="s">
        <v>7043</v>
      </c>
      <c r="J1831" s="3"/>
      <c r="K1831" s="3"/>
      <c r="L1831" s="5" t="str">
        <f>HYPERLINK("NATIVE_FILES\FOIA-FWS-2020-00724-0001830.xlsx","FOIA-FWS-2020-00724-0001830.xlsx")</f>
        <v>FOIA-FWS-2020-00724-0001830.xlsx</v>
      </c>
    </row>
    <row r="1832" spans="1:12" ht="28.8" x14ac:dyDescent="0.55000000000000004">
      <c r="A1832" s="9" t="str">
        <f>HYPERLINK("PDF\FOIA-FWS-2020-00724-0001831.pdf","FOIA-FWS-2020-00724-0001831")</f>
        <v>FOIA-FWS-2020-00724-0001831</v>
      </c>
      <c r="B1832" s="3" t="s">
        <v>3306</v>
      </c>
      <c r="C1832" s="3" t="s">
        <v>3</v>
      </c>
      <c r="D1832" s="3" t="s">
        <v>33</v>
      </c>
      <c r="E1832" s="3" t="s">
        <v>3308</v>
      </c>
      <c r="F1832" s="4">
        <v>43614.820833333331</v>
      </c>
      <c r="G1832" s="3" t="s">
        <v>3123</v>
      </c>
      <c r="H1832" s="3" t="s">
        <v>3307</v>
      </c>
      <c r="I1832" s="3" t="s">
        <v>7043</v>
      </c>
      <c r="J1832" s="3"/>
      <c r="K1832" s="3"/>
      <c r="L1832" s="5"/>
    </row>
    <row r="1833" spans="1:12" ht="28.8" x14ac:dyDescent="0.55000000000000004">
      <c r="A1833" s="9" t="str">
        <f>HYPERLINK("PDF\FOIA-FWS-2020-00724-0001832.pdf","FOIA-FWS-2020-00724-0001832")</f>
        <v>FOIA-FWS-2020-00724-0001832</v>
      </c>
      <c r="B1833" s="3" t="s">
        <v>3309</v>
      </c>
      <c r="C1833" s="3" t="s">
        <v>3</v>
      </c>
      <c r="D1833" s="3" t="s">
        <v>33</v>
      </c>
      <c r="E1833" s="3" t="s">
        <v>3310</v>
      </c>
      <c r="F1833" s="4">
        <v>43615</v>
      </c>
      <c r="G1833" s="3"/>
      <c r="H1833" s="3"/>
      <c r="I1833" s="3" t="s">
        <v>7043</v>
      </c>
      <c r="J1833" s="3"/>
      <c r="K1833" s="3"/>
      <c r="L1833" s="5"/>
    </row>
    <row r="1834" spans="1:12" ht="28.8" x14ac:dyDescent="0.55000000000000004">
      <c r="A1834" s="9" t="str">
        <f>HYPERLINK("PDF\FOIA-FWS-2020-00724-0001833.pdf","FOIA-FWS-2020-00724-0001833")</f>
        <v>FOIA-FWS-2020-00724-0001833</v>
      </c>
      <c r="B1834" s="3" t="s">
        <v>3311</v>
      </c>
      <c r="C1834" s="3" t="s">
        <v>3</v>
      </c>
      <c r="D1834" s="3" t="s">
        <v>33</v>
      </c>
      <c r="E1834" s="3" t="s">
        <v>3312</v>
      </c>
      <c r="F1834" s="4">
        <v>43615</v>
      </c>
      <c r="G1834" s="3"/>
      <c r="H1834" s="3"/>
      <c r="I1834" s="3" t="s">
        <v>7043</v>
      </c>
      <c r="J1834" s="3"/>
      <c r="K1834" s="3"/>
      <c r="L1834" s="5"/>
    </row>
    <row r="1835" spans="1:12" ht="28.8" x14ac:dyDescent="0.55000000000000004">
      <c r="A1835" s="9" t="str">
        <f>HYPERLINK("PDF\FOIA-FWS-2020-00724-0001834.pdf","FOIA-FWS-2020-00724-0001834")</f>
        <v>FOIA-FWS-2020-00724-0001834</v>
      </c>
      <c r="B1835" s="3" t="s">
        <v>3313</v>
      </c>
      <c r="C1835" s="3" t="s">
        <v>3</v>
      </c>
      <c r="D1835" s="3" t="s">
        <v>33</v>
      </c>
      <c r="E1835" s="3" t="s">
        <v>3314</v>
      </c>
      <c r="F1835" s="4">
        <v>43615</v>
      </c>
      <c r="G1835" s="3"/>
      <c r="H1835" s="3"/>
      <c r="I1835" s="3" t="s">
        <v>7043</v>
      </c>
      <c r="J1835" s="3"/>
      <c r="K1835" s="3"/>
      <c r="L1835" s="5"/>
    </row>
    <row r="1836" spans="1:12" ht="28.8" x14ac:dyDescent="0.55000000000000004">
      <c r="A1836" s="9" t="str">
        <f>HYPERLINK("PDF\FOIA-FWS-2020-00724-0001835.pdf","FOIA-FWS-2020-00724-0001835")</f>
        <v>FOIA-FWS-2020-00724-0001835</v>
      </c>
      <c r="B1836" s="3" t="s">
        <v>3315</v>
      </c>
      <c r="C1836" s="3" t="s">
        <v>3</v>
      </c>
      <c r="D1836" s="3" t="s">
        <v>33</v>
      </c>
      <c r="E1836" s="3" t="s">
        <v>3316</v>
      </c>
      <c r="F1836" s="4">
        <v>43615.529166666667</v>
      </c>
      <c r="G1836" s="3" t="s">
        <v>963</v>
      </c>
      <c r="H1836" s="3" t="s">
        <v>945</v>
      </c>
      <c r="I1836" s="3" t="s">
        <v>7043</v>
      </c>
      <c r="J1836" s="3"/>
      <c r="K1836" s="3"/>
      <c r="L1836" s="5"/>
    </row>
    <row r="1837" spans="1:12" ht="28.8" x14ac:dyDescent="0.55000000000000004">
      <c r="A1837" s="9" t="str">
        <f>HYPERLINK("PDF\FOIA-FWS-2020-00724-0001836.pdf","FOIA-FWS-2020-00724-0001836")</f>
        <v>FOIA-FWS-2020-00724-0001836</v>
      </c>
      <c r="B1837" s="3" t="s">
        <v>3317</v>
      </c>
      <c r="C1837" s="3" t="s">
        <v>3</v>
      </c>
      <c r="D1837" s="3" t="s">
        <v>33</v>
      </c>
      <c r="E1837" s="3" t="s">
        <v>3318</v>
      </c>
      <c r="F1837" s="4">
        <v>43615.598611111112</v>
      </c>
      <c r="G1837" s="3" t="s">
        <v>963</v>
      </c>
      <c r="H1837" s="3" t="s">
        <v>872</v>
      </c>
      <c r="I1837" s="3" t="s">
        <v>7043</v>
      </c>
      <c r="J1837" s="3"/>
      <c r="K1837" s="3"/>
      <c r="L1837" s="5"/>
    </row>
    <row r="1838" spans="1:12" ht="28.8" x14ac:dyDescent="0.55000000000000004">
      <c r="A1838" s="9" t="str">
        <f>HYPERLINK("PDF\FOIA-FWS-2020-00724-0001837.pdf","FOIA-FWS-2020-00724-0001837")</f>
        <v>FOIA-FWS-2020-00724-0001837</v>
      </c>
      <c r="B1838" s="3" t="s">
        <v>3317</v>
      </c>
      <c r="C1838" s="3" t="s">
        <v>234</v>
      </c>
      <c r="D1838" s="3" t="s">
        <v>4</v>
      </c>
      <c r="E1838" s="3" t="s">
        <v>3319</v>
      </c>
      <c r="F1838" s="4">
        <v>43615.598611111112</v>
      </c>
      <c r="G1838" s="3"/>
      <c r="H1838" s="3"/>
      <c r="I1838" s="3" t="s">
        <v>7043</v>
      </c>
      <c r="J1838" s="3"/>
      <c r="K1838" s="3"/>
      <c r="L1838" s="5"/>
    </row>
    <row r="1839" spans="1:12" ht="28.8" x14ac:dyDescent="0.55000000000000004">
      <c r="A1839" s="9" t="str">
        <f>HYPERLINK("PDF\FOIA-FWS-2020-00724-0001838.pdf","FOIA-FWS-2020-00724-0001838")</f>
        <v>FOIA-FWS-2020-00724-0001838</v>
      </c>
      <c r="B1839" s="3" t="s">
        <v>3317</v>
      </c>
      <c r="C1839" s="3" t="s">
        <v>234</v>
      </c>
      <c r="D1839" s="3" t="s">
        <v>4</v>
      </c>
      <c r="E1839" s="3" t="s">
        <v>3320</v>
      </c>
      <c r="F1839" s="4">
        <v>43615.598611111112</v>
      </c>
      <c r="G1839" s="3"/>
      <c r="H1839" s="3"/>
      <c r="I1839" s="3" t="s">
        <v>7043</v>
      </c>
      <c r="J1839" s="3"/>
      <c r="K1839" s="3"/>
      <c r="L1839" s="5"/>
    </row>
    <row r="1840" spans="1:12" ht="28.8" x14ac:dyDescent="0.55000000000000004">
      <c r="A1840" s="9" t="str">
        <f>HYPERLINK("PDF\FOIA-FWS-2020-00724-0001839.pdf","FOIA-FWS-2020-00724-0001839")</f>
        <v>FOIA-FWS-2020-00724-0001839</v>
      </c>
      <c r="B1840" s="3" t="s">
        <v>3321</v>
      </c>
      <c r="C1840" s="3" t="s">
        <v>3</v>
      </c>
      <c r="D1840" s="3" t="s">
        <v>33</v>
      </c>
      <c r="E1840" s="3" t="s">
        <v>3318</v>
      </c>
      <c r="F1840" s="4">
        <v>43615.599305555559</v>
      </c>
      <c r="G1840" s="3" t="s">
        <v>963</v>
      </c>
      <c r="H1840" s="3" t="s">
        <v>872</v>
      </c>
      <c r="I1840" s="3" t="s">
        <v>7043</v>
      </c>
      <c r="J1840" s="3"/>
      <c r="K1840" s="3"/>
      <c r="L1840" s="5"/>
    </row>
    <row r="1841" spans="1:12" ht="28.8" x14ac:dyDescent="0.55000000000000004">
      <c r="A1841" s="9" t="str">
        <f>HYPERLINK("PDF\FOIA-FWS-2020-00724-0001840.pdf","FOIA-FWS-2020-00724-0001840")</f>
        <v>FOIA-FWS-2020-00724-0001840</v>
      </c>
      <c r="B1841" s="3" t="s">
        <v>3322</v>
      </c>
      <c r="C1841" s="3" t="s">
        <v>3</v>
      </c>
      <c r="D1841" s="3" t="s">
        <v>33</v>
      </c>
      <c r="E1841" s="3" t="s">
        <v>3323</v>
      </c>
      <c r="F1841" s="4">
        <v>43615.90347222222</v>
      </c>
      <c r="G1841" s="3" t="s">
        <v>861</v>
      </c>
      <c r="H1841" s="3" t="s">
        <v>945</v>
      </c>
      <c r="I1841" s="3" t="s">
        <v>7043</v>
      </c>
      <c r="J1841" s="3"/>
      <c r="K1841" s="3"/>
      <c r="L1841" s="5"/>
    </row>
    <row r="1842" spans="1:12" ht="28.8" x14ac:dyDescent="0.55000000000000004">
      <c r="A1842" s="9" t="str">
        <f>HYPERLINK("PDF\FOIA-FWS-2020-00724-0001841.pdf","FOIA-FWS-2020-00724-0001841")</f>
        <v>FOIA-FWS-2020-00724-0001841</v>
      </c>
      <c r="B1842" s="3" t="s">
        <v>3324</v>
      </c>
      <c r="C1842" s="3" t="s">
        <v>3</v>
      </c>
      <c r="D1842" s="3" t="s">
        <v>33</v>
      </c>
      <c r="E1842" s="3" t="s">
        <v>3325</v>
      </c>
      <c r="F1842" s="4">
        <v>43616</v>
      </c>
      <c r="G1842" s="3"/>
      <c r="H1842" s="3"/>
      <c r="I1842" s="3" t="s">
        <v>7043</v>
      </c>
      <c r="J1842" s="3"/>
      <c r="K1842" s="3"/>
      <c r="L1842" s="5"/>
    </row>
    <row r="1843" spans="1:12" ht="28.8" x14ac:dyDescent="0.55000000000000004">
      <c r="A1843" s="9" t="str">
        <f>HYPERLINK("PDF\FOIA-FWS-2020-00724-0001842.pdf","FOIA-FWS-2020-00724-0001842")</f>
        <v>FOIA-FWS-2020-00724-0001842</v>
      </c>
      <c r="B1843" s="3" t="s">
        <v>3326</v>
      </c>
      <c r="C1843" s="3" t="s">
        <v>3</v>
      </c>
      <c r="D1843" s="3" t="s">
        <v>33</v>
      </c>
      <c r="E1843" s="3" t="s">
        <v>3327</v>
      </c>
      <c r="F1843" s="4">
        <v>43616</v>
      </c>
      <c r="G1843" s="3"/>
      <c r="H1843" s="3"/>
      <c r="I1843" s="3" t="s">
        <v>7043</v>
      </c>
      <c r="J1843" s="3"/>
      <c r="K1843" s="3"/>
      <c r="L1843" s="5"/>
    </row>
    <row r="1844" spans="1:12" ht="28.8" x14ac:dyDescent="0.55000000000000004">
      <c r="A1844" s="9" t="str">
        <f>HYPERLINK("PDF\FOIA-FWS-2020-00724-0001843.pdf","FOIA-FWS-2020-00724-0001843")</f>
        <v>FOIA-FWS-2020-00724-0001843</v>
      </c>
      <c r="B1844" s="3" t="s">
        <v>3328</v>
      </c>
      <c r="C1844" s="3" t="s">
        <v>3</v>
      </c>
      <c r="D1844" s="3" t="s">
        <v>33</v>
      </c>
      <c r="E1844" s="3" t="s">
        <v>3329</v>
      </c>
      <c r="F1844" s="4">
        <v>43616</v>
      </c>
      <c r="G1844" s="3"/>
      <c r="H1844" s="3"/>
      <c r="I1844" s="3" t="s">
        <v>7042</v>
      </c>
      <c r="J1844" s="3" t="s">
        <v>7046</v>
      </c>
      <c r="K1844" s="3" t="s">
        <v>7036</v>
      </c>
      <c r="L1844" s="5"/>
    </row>
    <row r="1845" spans="1:12" ht="28.8" x14ac:dyDescent="0.55000000000000004">
      <c r="A1845" s="9" t="str">
        <f>HYPERLINK("PDF\FOIA-FWS-2020-00724-0001844.pdf","FOIA-FWS-2020-00724-0001844")</f>
        <v>FOIA-FWS-2020-00724-0001844</v>
      </c>
      <c r="B1845" s="3" t="s">
        <v>3330</v>
      </c>
      <c r="C1845" s="3" t="s">
        <v>3</v>
      </c>
      <c r="D1845" s="3" t="s">
        <v>33</v>
      </c>
      <c r="E1845" s="3" t="s">
        <v>3332</v>
      </c>
      <c r="F1845" s="4">
        <v>43616.45</v>
      </c>
      <c r="G1845" s="3" t="s">
        <v>945</v>
      </c>
      <c r="H1845" s="3" t="s">
        <v>3331</v>
      </c>
      <c r="I1845" s="3" t="s">
        <v>7043</v>
      </c>
      <c r="J1845" s="3"/>
      <c r="K1845" s="3"/>
      <c r="L1845" s="5"/>
    </row>
    <row r="1846" spans="1:12" ht="28.8" x14ac:dyDescent="0.55000000000000004">
      <c r="A1846" s="9" t="str">
        <f>HYPERLINK("PDF\FOIA-FWS-2020-00724-0001845.pdf","FOIA-FWS-2020-00724-0001845")</f>
        <v>FOIA-FWS-2020-00724-0001845</v>
      </c>
      <c r="B1846" s="3" t="s">
        <v>3330</v>
      </c>
      <c r="C1846" s="3" t="s">
        <v>234</v>
      </c>
      <c r="D1846" s="3" t="s">
        <v>33</v>
      </c>
      <c r="E1846" s="3" t="s">
        <v>3275</v>
      </c>
      <c r="F1846" s="4">
        <v>43616.45</v>
      </c>
      <c r="G1846" s="3"/>
      <c r="H1846" s="3"/>
      <c r="I1846" s="3" t="s">
        <v>7043</v>
      </c>
      <c r="J1846" s="3"/>
      <c r="K1846" s="3"/>
      <c r="L1846" s="5"/>
    </row>
    <row r="1847" spans="1:12" ht="28.8" x14ac:dyDescent="0.55000000000000004">
      <c r="A1847" s="9" t="str">
        <f>HYPERLINK("PDF\FOIA-FWS-2020-00724-0001846.pdf","FOIA-FWS-2020-00724-0001846")</f>
        <v>FOIA-FWS-2020-00724-0001846</v>
      </c>
      <c r="B1847" s="3" t="s">
        <v>3333</v>
      </c>
      <c r="C1847" s="3" t="s">
        <v>3</v>
      </c>
      <c r="D1847" s="3" t="s">
        <v>33</v>
      </c>
      <c r="E1847" s="3" t="s">
        <v>3335</v>
      </c>
      <c r="F1847" s="4">
        <v>43616.490972222222</v>
      </c>
      <c r="G1847" s="3" t="s">
        <v>872</v>
      </c>
      <c r="H1847" s="3" t="s">
        <v>3334</v>
      </c>
      <c r="I1847" s="3" t="s">
        <v>7043</v>
      </c>
      <c r="J1847" s="3"/>
      <c r="K1847" s="3"/>
      <c r="L1847" s="5"/>
    </row>
    <row r="1848" spans="1:12" ht="28.8" x14ac:dyDescent="0.55000000000000004">
      <c r="A1848" s="9" t="str">
        <f>HYPERLINK("PDF\FOIA-FWS-2020-00724-0001847.pdf","FOIA-FWS-2020-00724-0001847")</f>
        <v>FOIA-FWS-2020-00724-0001847</v>
      </c>
      <c r="B1848" s="3" t="s">
        <v>3336</v>
      </c>
      <c r="C1848" s="3" t="s">
        <v>3</v>
      </c>
      <c r="D1848" s="3" t="s">
        <v>33</v>
      </c>
      <c r="E1848" s="3" t="s">
        <v>3337</v>
      </c>
      <c r="F1848" s="4">
        <v>43616.525000000001</v>
      </c>
      <c r="G1848" s="3" t="s">
        <v>872</v>
      </c>
      <c r="H1848" s="3" t="s">
        <v>963</v>
      </c>
      <c r="I1848" s="3" t="s">
        <v>7043</v>
      </c>
      <c r="J1848" s="3"/>
      <c r="K1848" s="3"/>
      <c r="L1848" s="5"/>
    </row>
    <row r="1849" spans="1:12" ht="28.8" x14ac:dyDescent="0.55000000000000004">
      <c r="A1849" s="9" t="str">
        <f>HYPERLINK("PDF\FOIA-FWS-2020-00724-0001848.pdf","FOIA-FWS-2020-00724-0001848")</f>
        <v>FOIA-FWS-2020-00724-0001848</v>
      </c>
      <c r="B1849" s="3" t="s">
        <v>3336</v>
      </c>
      <c r="C1849" s="3" t="s">
        <v>234</v>
      </c>
      <c r="D1849" s="3" t="s">
        <v>33</v>
      </c>
      <c r="E1849" s="3" t="s">
        <v>3338</v>
      </c>
      <c r="F1849" s="4">
        <v>43616.525000000001</v>
      </c>
      <c r="G1849" s="3"/>
      <c r="H1849" s="3"/>
      <c r="I1849" s="3" t="s">
        <v>7043</v>
      </c>
      <c r="J1849" s="3"/>
      <c r="K1849" s="3"/>
      <c r="L1849" s="5"/>
    </row>
    <row r="1850" spans="1:12" ht="28.8" x14ac:dyDescent="0.55000000000000004">
      <c r="A1850" s="9" t="str">
        <f>HYPERLINK("PDF\FOIA-FWS-2020-00724-0001849.pdf","FOIA-FWS-2020-00724-0001849")</f>
        <v>FOIA-FWS-2020-00724-0001849</v>
      </c>
      <c r="B1850" s="3" t="s">
        <v>3339</v>
      </c>
      <c r="C1850" s="3" t="s">
        <v>3</v>
      </c>
      <c r="D1850" s="3" t="s">
        <v>33</v>
      </c>
      <c r="E1850" s="3" t="s">
        <v>3318</v>
      </c>
      <c r="F1850" s="4">
        <v>43616.527083333334</v>
      </c>
      <c r="G1850" s="3" t="s">
        <v>872</v>
      </c>
      <c r="H1850" s="3" t="s">
        <v>963</v>
      </c>
      <c r="I1850" s="3" t="s">
        <v>7043</v>
      </c>
      <c r="J1850" s="3"/>
      <c r="K1850" s="3"/>
      <c r="L1850" s="5"/>
    </row>
    <row r="1851" spans="1:12" ht="28.8" x14ac:dyDescent="0.55000000000000004">
      <c r="A1851" s="9" t="str">
        <f>HYPERLINK("PDF\FOIA-FWS-2020-00724-0001850.pdf","FOIA-FWS-2020-00724-0001850")</f>
        <v>FOIA-FWS-2020-00724-0001850</v>
      </c>
      <c r="B1851" s="3" t="s">
        <v>3340</v>
      </c>
      <c r="C1851" s="3" t="s">
        <v>3</v>
      </c>
      <c r="D1851" s="3" t="s">
        <v>33</v>
      </c>
      <c r="E1851" s="3" t="s">
        <v>3341</v>
      </c>
      <c r="F1851" s="4">
        <v>43616.661805555559</v>
      </c>
      <c r="G1851" s="3" t="s">
        <v>945</v>
      </c>
      <c r="H1851" s="3" t="s">
        <v>1119</v>
      </c>
      <c r="I1851" s="3" t="s">
        <v>7043</v>
      </c>
      <c r="J1851" s="3"/>
      <c r="K1851" s="3"/>
      <c r="L1851" s="5"/>
    </row>
    <row r="1852" spans="1:12" ht="28.8" x14ac:dyDescent="0.55000000000000004">
      <c r="A1852" s="9" t="str">
        <f>HYPERLINK("PDF\FOIA-FWS-2020-00724-0001851.pdf","FOIA-FWS-2020-00724-0001851")</f>
        <v>FOIA-FWS-2020-00724-0001851</v>
      </c>
      <c r="B1852" s="3" t="s">
        <v>3340</v>
      </c>
      <c r="C1852" s="3" t="s">
        <v>234</v>
      </c>
      <c r="D1852" s="3" t="s">
        <v>33</v>
      </c>
      <c r="E1852" s="3" t="s">
        <v>3157</v>
      </c>
      <c r="F1852" s="4">
        <v>43616.661805555559</v>
      </c>
      <c r="G1852" s="3"/>
      <c r="H1852" s="3"/>
      <c r="I1852" s="3" t="s">
        <v>7043</v>
      </c>
      <c r="J1852" s="3"/>
      <c r="K1852" s="3"/>
      <c r="L1852" s="5"/>
    </row>
    <row r="1853" spans="1:12" ht="28.8" x14ac:dyDescent="0.55000000000000004">
      <c r="A1853" s="9" t="str">
        <f>HYPERLINK("PDF\FOIA-FWS-2020-00724-0001852.pdf","FOIA-FWS-2020-00724-0001852")</f>
        <v>FOIA-FWS-2020-00724-0001852</v>
      </c>
      <c r="B1853" s="3" t="s">
        <v>3342</v>
      </c>
      <c r="C1853" s="3" t="s">
        <v>3</v>
      </c>
      <c r="D1853" s="3" t="s">
        <v>33</v>
      </c>
      <c r="E1853" s="3" t="s">
        <v>3343</v>
      </c>
      <c r="F1853" s="4">
        <v>43617</v>
      </c>
      <c r="G1853" s="3"/>
      <c r="H1853" s="3"/>
      <c r="I1853" s="3" t="s">
        <v>7043</v>
      </c>
      <c r="J1853" s="3"/>
      <c r="K1853" s="3"/>
      <c r="L1853" s="5"/>
    </row>
    <row r="1854" spans="1:12" ht="28.8" x14ac:dyDescent="0.55000000000000004">
      <c r="A1854" s="9" t="str">
        <f>HYPERLINK("PDF\FOIA-FWS-2020-00724-0001853.pdf","FOIA-FWS-2020-00724-0001853")</f>
        <v>FOIA-FWS-2020-00724-0001853</v>
      </c>
      <c r="B1854" s="3" t="s">
        <v>3344</v>
      </c>
      <c r="C1854" s="3" t="s">
        <v>3</v>
      </c>
      <c r="D1854" s="3" t="s">
        <v>4</v>
      </c>
      <c r="E1854" s="3" t="s">
        <v>3345</v>
      </c>
      <c r="F1854" s="4">
        <v>43617</v>
      </c>
      <c r="G1854" s="3"/>
      <c r="H1854" s="3"/>
      <c r="I1854" s="3" t="s">
        <v>7043</v>
      </c>
      <c r="J1854" s="3"/>
      <c r="K1854" s="3"/>
      <c r="L1854" s="5"/>
    </row>
    <row r="1855" spans="1:12" ht="57.6" x14ac:dyDescent="0.55000000000000004">
      <c r="A1855" s="9" t="str">
        <f>HYPERLINK("PDF\FOIA-FWS-2020-00724-0001854.pdf","FOIA-FWS-2020-00724-0001854")</f>
        <v>FOIA-FWS-2020-00724-0001854</v>
      </c>
      <c r="B1855" s="3" t="s">
        <v>3346</v>
      </c>
      <c r="C1855" s="3" t="s">
        <v>3</v>
      </c>
      <c r="D1855" s="3" t="s">
        <v>33</v>
      </c>
      <c r="E1855" s="3" t="s">
        <v>3348</v>
      </c>
      <c r="F1855" s="4">
        <v>43619.459027777775</v>
      </c>
      <c r="G1855" s="3" t="s">
        <v>963</v>
      </c>
      <c r="H1855" s="3" t="s">
        <v>3347</v>
      </c>
      <c r="I1855" s="3" t="s">
        <v>7043</v>
      </c>
      <c r="J1855" s="3"/>
      <c r="K1855" s="3"/>
      <c r="L1855" s="5"/>
    </row>
    <row r="1856" spans="1:12" ht="28.8" x14ac:dyDescent="0.55000000000000004">
      <c r="A1856" s="9" t="str">
        <f>HYPERLINK("PDF\FOIA-FWS-2020-00724-0001855.pdf","FOIA-FWS-2020-00724-0001855")</f>
        <v>FOIA-FWS-2020-00724-0001855</v>
      </c>
      <c r="B1856" s="3" t="s">
        <v>3346</v>
      </c>
      <c r="C1856" s="3" t="s">
        <v>234</v>
      </c>
      <c r="D1856" s="3" t="s">
        <v>33</v>
      </c>
      <c r="E1856" s="3" t="s">
        <v>3349</v>
      </c>
      <c r="F1856" s="4">
        <v>43619.459027777775</v>
      </c>
      <c r="G1856" s="3"/>
      <c r="H1856" s="3"/>
      <c r="I1856" s="3" t="s">
        <v>7043</v>
      </c>
      <c r="J1856" s="3"/>
      <c r="K1856" s="3"/>
      <c r="L1856" s="5"/>
    </row>
    <row r="1857" spans="1:12" ht="28.8" x14ac:dyDescent="0.55000000000000004">
      <c r="A1857" s="9" t="str">
        <f>HYPERLINK("PDF\FOIA-FWS-2020-00724-0001856.pdf","FOIA-FWS-2020-00724-0001856")</f>
        <v>FOIA-FWS-2020-00724-0001856</v>
      </c>
      <c r="B1857" s="3" t="s">
        <v>3350</v>
      </c>
      <c r="C1857" s="3" t="s">
        <v>3</v>
      </c>
      <c r="D1857" s="3" t="s">
        <v>33</v>
      </c>
      <c r="E1857" s="3" t="s">
        <v>3351</v>
      </c>
      <c r="F1857" s="4">
        <v>43619.460416666669</v>
      </c>
      <c r="G1857" s="3" t="s">
        <v>1012</v>
      </c>
      <c r="H1857" s="3" t="s">
        <v>963</v>
      </c>
      <c r="I1857" s="3" t="s">
        <v>7043</v>
      </c>
      <c r="J1857" s="3"/>
      <c r="K1857" s="3"/>
      <c r="L1857" s="5"/>
    </row>
    <row r="1858" spans="1:12" ht="72" x14ac:dyDescent="0.55000000000000004">
      <c r="A1858" s="9" t="str">
        <f>HYPERLINK("PDF\FOIA-FWS-2020-00724-0001857.pdf","FOIA-FWS-2020-00724-0001857")</f>
        <v>FOIA-FWS-2020-00724-0001857</v>
      </c>
      <c r="B1858" s="3" t="s">
        <v>3352</v>
      </c>
      <c r="C1858" s="3" t="s">
        <v>3</v>
      </c>
      <c r="D1858" s="3" t="s">
        <v>33</v>
      </c>
      <c r="E1858" s="3" t="s">
        <v>3353</v>
      </c>
      <c r="F1858" s="4">
        <v>43619.498611111114</v>
      </c>
      <c r="G1858" s="3" t="s">
        <v>872</v>
      </c>
      <c r="H1858" s="3" t="s">
        <v>955</v>
      </c>
      <c r="I1858" s="3" t="s">
        <v>7043</v>
      </c>
      <c r="J1858" s="3"/>
      <c r="K1858" s="3"/>
      <c r="L1858" s="5"/>
    </row>
    <row r="1859" spans="1:12" ht="43.2" x14ac:dyDescent="0.55000000000000004">
      <c r="A1859" s="9" t="str">
        <f>HYPERLINK("PDF\FOIA-FWS-2020-00724-0001858.pdf","FOIA-FWS-2020-00724-0001858")</f>
        <v>FOIA-FWS-2020-00724-0001858</v>
      </c>
      <c r="B1859" s="3" t="s">
        <v>3354</v>
      </c>
      <c r="C1859" s="3" t="s">
        <v>3</v>
      </c>
      <c r="D1859" s="3" t="s">
        <v>33</v>
      </c>
      <c r="E1859" s="3" t="s">
        <v>3356</v>
      </c>
      <c r="F1859" s="4">
        <v>43619.593055555553</v>
      </c>
      <c r="G1859" s="3" t="s">
        <v>945</v>
      </c>
      <c r="H1859" s="3" t="s">
        <v>3355</v>
      </c>
      <c r="I1859" s="3" t="s">
        <v>7043</v>
      </c>
      <c r="J1859" s="3"/>
      <c r="K1859" s="3"/>
      <c r="L1859" s="5"/>
    </row>
    <row r="1860" spans="1:12" ht="28.8" x14ac:dyDescent="0.55000000000000004">
      <c r="A1860" s="9" t="str">
        <f>HYPERLINK("PDF\FOIA-FWS-2020-00724-0001859.pdf","FOIA-FWS-2020-00724-0001859")</f>
        <v>FOIA-FWS-2020-00724-0001859</v>
      </c>
      <c r="B1860" s="3" t="s">
        <v>3354</v>
      </c>
      <c r="C1860" s="3" t="s">
        <v>234</v>
      </c>
      <c r="D1860" s="3" t="s">
        <v>33</v>
      </c>
      <c r="E1860" s="3" t="s">
        <v>3357</v>
      </c>
      <c r="F1860" s="4">
        <v>43619.593055555553</v>
      </c>
      <c r="G1860" s="3"/>
      <c r="H1860" s="3"/>
      <c r="I1860" s="3" t="s">
        <v>7043</v>
      </c>
      <c r="J1860" s="3"/>
      <c r="K1860" s="3"/>
      <c r="L1860" s="5"/>
    </row>
    <row r="1861" spans="1:12" ht="28.8" x14ac:dyDescent="0.55000000000000004">
      <c r="A1861" s="9" t="str">
        <f>HYPERLINK("PDF\FOIA-FWS-2020-00724-0001860.pdf","FOIA-FWS-2020-00724-0001860")</f>
        <v>FOIA-FWS-2020-00724-0001860</v>
      </c>
      <c r="B1861" s="3" t="s">
        <v>3358</v>
      </c>
      <c r="C1861" s="3" t="s">
        <v>3</v>
      </c>
      <c r="D1861" s="3" t="s">
        <v>33</v>
      </c>
      <c r="E1861" s="3" t="s">
        <v>3359</v>
      </c>
      <c r="F1861" s="4">
        <v>43619.595833333333</v>
      </c>
      <c r="G1861" s="3" t="s">
        <v>3123</v>
      </c>
      <c r="H1861" s="3" t="s">
        <v>872</v>
      </c>
      <c r="I1861" s="3" t="s">
        <v>7043</v>
      </c>
      <c r="J1861" s="3"/>
      <c r="K1861" s="3"/>
      <c r="L1861" s="5"/>
    </row>
    <row r="1862" spans="1:12" ht="28.8" x14ac:dyDescent="0.55000000000000004">
      <c r="A1862" s="9" t="str">
        <f>HYPERLINK("PDF\FOIA-FWS-2020-00724-0001861.pdf","FOIA-FWS-2020-00724-0001861")</f>
        <v>FOIA-FWS-2020-00724-0001861</v>
      </c>
      <c r="B1862" s="3" t="s">
        <v>3358</v>
      </c>
      <c r="C1862" s="3" t="s">
        <v>234</v>
      </c>
      <c r="D1862" s="3" t="s">
        <v>33</v>
      </c>
      <c r="E1862" s="3" t="s">
        <v>3357</v>
      </c>
      <c r="F1862" s="4">
        <v>43619.595833333333</v>
      </c>
      <c r="G1862" s="3"/>
      <c r="H1862" s="3"/>
      <c r="I1862" s="3" t="s">
        <v>7043</v>
      </c>
      <c r="J1862" s="3"/>
      <c r="K1862" s="3"/>
      <c r="L1862" s="5"/>
    </row>
    <row r="1863" spans="1:12" ht="43.2" x14ac:dyDescent="0.55000000000000004">
      <c r="A1863" s="9" t="str">
        <f>HYPERLINK("PDF\FOIA-FWS-2020-00724-0001862.pdf","FOIA-FWS-2020-00724-0001862")</f>
        <v>FOIA-FWS-2020-00724-0001862</v>
      </c>
      <c r="B1863" s="3" t="s">
        <v>3360</v>
      </c>
      <c r="C1863" s="3" t="s">
        <v>3</v>
      </c>
      <c r="D1863" s="3" t="s">
        <v>33</v>
      </c>
      <c r="E1863" s="3" t="s">
        <v>3361</v>
      </c>
      <c r="F1863" s="4">
        <v>43619.804861111108</v>
      </c>
      <c r="G1863" s="3" t="s">
        <v>872</v>
      </c>
      <c r="H1863" s="3" t="s">
        <v>955</v>
      </c>
      <c r="I1863" s="3" t="s">
        <v>7044</v>
      </c>
      <c r="J1863" s="3" t="s">
        <v>7046</v>
      </c>
      <c r="K1863" s="3" t="s">
        <v>7036</v>
      </c>
      <c r="L1863" s="5"/>
    </row>
    <row r="1864" spans="1:12" ht="43.2" x14ac:dyDescent="0.55000000000000004">
      <c r="A1864" t="s">
        <v>7024</v>
      </c>
      <c r="B1864" s="3" t="s">
        <v>3360</v>
      </c>
      <c r="C1864" s="3" t="s">
        <v>234</v>
      </c>
      <c r="D1864" s="3" t="s">
        <v>33</v>
      </c>
      <c r="E1864" s="3" t="s">
        <v>3362</v>
      </c>
      <c r="F1864" s="4">
        <v>43619.804861111108</v>
      </c>
      <c r="G1864" s="3"/>
      <c r="H1864" s="3"/>
      <c r="I1864" s="3" t="s">
        <v>7044</v>
      </c>
      <c r="J1864" s="3" t="s">
        <v>7046</v>
      </c>
      <c r="K1864" s="3"/>
      <c r="L1864" s="5"/>
    </row>
    <row r="1865" spans="1:12" ht="28.8" x14ac:dyDescent="0.55000000000000004">
      <c r="A1865" s="9" t="str">
        <f>HYPERLINK("PDF\FOIA-FWS-2020-00724-0001864.pdf","FOIA-FWS-2020-00724-0001864")</f>
        <v>FOIA-FWS-2020-00724-0001864</v>
      </c>
      <c r="B1865" s="3" t="s">
        <v>3363</v>
      </c>
      <c r="C1865" s="3" t="s">
        <v>3</v>
      </c>
      <c r="D1865" s="3" t="s">
        <v>33</v>
      </c>
      <c r="E1865" s="3" t="s">
        <v>3364</v>
      </c>
      <c r="F1865" s="4">
        <v>43620.486111111109</v>
      </c>
      <c r="G1865" s="3" t="s">
        <v>1060</v>
      </c>
      <c r="H1865" s="3" t="s">
        <v>861</v>
      </c>
      <c r="I1865" s="3" t="s">
        <v>7043</v>
      </c>
      <c r="J1865" s="3"/>
      <c r="K1865" s="3"/>
      <c r="L1865" s="5"/>
    </row>
    <row r="1866" spans="1:12" ht="28.8" x14ac:dyDescent="0.55000000000000004">
      <c r="A1866" s="9" t="str">
        <f>HYPERLINK("PDF\FOIA-FWS-2020-00724-0001865.pdf","FOIA-FWS-2020-00724-0001865")</f>
        <v>FOIA-FWS-2020-00724-0001865</v>
      </c>
      <c r="B1866" s="3" t="s">
        <v>3363</v>
      </c>
      <c r="C1866" s="3" t="s">
        <v>234</v>
      </c>
      <c r="D1866" s="3" t="s">
        <v>33</v>
      </c>
      <c r="E1866" s="3" t="s">
        <v>3365</v>
      </c>
      <c r="F1866" s="4">
        <v>43620.486111111109</v>
      </c>
      <c r="G1866" s="3"/>
      <c r="H1866" s="3"/>
      <c r="I1866" s="3" t="s">
        <v>7043</v>
      </c>
      <c r="J1866" s="3"/>
      <c r="K1866" s="3"/>
      <c r="L1866" s="5"/>
    </row>
    <row r="1867" spans="1:12" ht="28.8" x14ac:dyDescent="0.55000000000000004">
      <c r="A1867" s="9" t="str">
        <f>HYPERLINK("PDF\FOIA-FWS-2020-00724-0001866.pdf","FOIA-FWS-2020-00724-0001866")</f>
        <v>FOIA-FWS-2020-00724-0001866</v>
      </c>
      <c r="B1867" s="3" t="s">
        <v>3366</v>
      </c>
      <c r="C1867" s="3" t="s">
        <v>3</v>
      </c>
      <c r="D1867" s="3" t="s">
        <v>33</v>
      </c>
      <c r="E1867" s="3" t="s">
        <v>3367</v>
      </c>
      <c r="F1867" s="4">
        <v>43621</v>
      </c>
      <c r="G1867" s="3"/>
      <c r="H1867" s="3"/>
      <c r="I1867" s="3" t="s">
        <v>7043</v>
      </c>
      <c r="J1867" s="3"/>
      <c r="K1867" s="3"/>
      <c r="L1867" s="5"/>
    </row>
    <row r="1868" spans="1:12" ht="28.8" x14ac:dyDescent="0.55000000000000004">
      <c r="A1868" s="9" t="str">
        <f>HYPERLINK("PDF\FOIA-FWS-2020-00724-0001867.pdf","FOIA-FWS-2020-00724-0001867")</f>
        <v>FOIA-FWS-2020-00724-0001867</v>
      </c>
      <c r="B1868" s="3" t="s">
        <v>3368</v>
      </c>
      <c r="C1868" s="3" t="s">
        <v>3</v>
      </c>
      <c r="D1868" s="3" t="s">
        <v>33</v>
      </c>
      <c r="E1868" s="3" t="s">
        <v>3369</v>
      </c>
      <c r="F1868" s="4">
        <v>43621.493750000001</v>
      </c>
      <c r="G1868" s="3" t="s">
        <v>955</v>
      </c>
      <c r="H1868" s="3" t="s">
        <v>963</v>
      </c>
      <c r="I1868" s="3" t="s">
        <v>7043</v>
      </c>
      <c r="J1868" s="3"/>
      <c r="K1868" s="3"/>
      <c r="L1868" s="5"/>
    </row>
    <row r="1869" spans="1:12" ht="28.8" x14ac:dyDescent="0.55000000000000004">
      <c r="A1869" s="9" t="str">
        <f>HYPERLINK("PDF\FOIA-FWS-2020-00724-0001868.pdf","FOIA-FWS-2020-00724-0001868")</f>
        <v>FOIA-FWS-2020-00724-0001868</v>
      </c>
      <c r="B1869" s="3" t="s">
        <v>3370</v>
      </c>
      <c r="C1869" s="3" t="s">
        <v>3</v>
      </c>
      <c r="D1869" s="3" t="s">
        <v>33</v>
      </c>
      <c r="E1869" s="3" t="s">
        <v>3371</v>
      </c>
      <c r="F1869" s="4">
        <v>43621.498611111114</v>
      </c>
      <c r="G1869" s="3" t="s">
        <v>955</v>
      </c>
      <c r="H1869" s="3" t="s">
        <v>963</v>
      </c>
      <c r="I1869" s="3" t="s">
        <v>7043</v>
      </c>
      <c r="J1869" s="3"/>
      <c r="K1869" s="3"/>
      <c r="L1869" s="5"/>
    </row>
    <row r="1870" spans="1:12" ht="28.8" x14ac:dyDescent="0.55000000000000004">
      <c r="A1870" s="9" t="str">
        <f>HYPERLINK("PDF\FOIA-FWS-2020-00724-0001869.pdf","FOIA-FWS-2020-00724-0001869")</f>
        <v>FOIA-FWS-2020-00724-0001869</v>
      </c>
      <c r="B1870" s="3" t="s">
        <v>3372</v>
      </c>
      <c r="C1870" s="3" t="s">
        <v>3</v>
      </c>
      <c r="D1870" s="3" t="s">
        <v>33</v>
      </c>
      <c r="E1870" s="3" t="s">
        <v>3373</v>
      </c>
      <c r="F1870" s="4">
        <v>43621.556944444441</v>
      </c>
      <c r="G1870" s="3" t="s">
        <v>945</v>
      </c>
      <c r="H1870" s="3" t="s">
        <v>955</v>
      </c>
      <c r="I1870" s="3" t="s">
        <v>7043</v>
      </c>
      <c r="J1870" s="3"/>
      <c r="K1870" s="3"/>
      <c r="L1870" s="5"/>
    </row>
    <row r="1871" spans="1:12" ht="28.8" x14ac:dyDescent="0.55000000000000004">
      <c r="A1871" s="9" t="str">
        <f>HYPERLINK("PDF\FOIA-FWS-2020-00724-0001870.pdf","FOIA-FWS-2020-00724-0001870")</f>
        <v>FOIA-FWS-2020-00724-0001870</v>
      </c>
      <c r="B1871" s="3" t="s">
        <v>3374</v>
      </c>
      <c r="C1871" s="3" t="s">
        <v>3</v>
      </c>
      <c r="D1871" s="3" t="s">
        <v>33</v>
      </c>
      <c r="E1871" s="3" t="s">
        <v>3375</v>
      </c>
      <c r="F1871" s="4">
        <v>43622</v>
      </c>
      <c r="G1871" s="3"/>
      <c r="H1871" s="3"/>
      <c r="I1871" s="3" t="s">
        <v>7043</v>
      </c>
      <c r="J1871" s="3"/>
      <c r="K1871" s="3"/>
      <c r="L1871" s="5"/>
    </row>
    <row r="1872" spans="1:12" ht="28.8" x14ac:dyDescent="0.55000000000000004">
      <c r="A1872" s="9" t="str">
        <f>HYPERLINK("PDF\FOIA-FWS-2020-00724-0001871.pdf","FOIA-FWS-2020-00724-0001871")</f>
        <v>FOIA-FWS-2020-00724-0001871</v>
      </c>
      <c r="B1872" s="3" t="s">
        <v>3376</v>
      </c>
      <c r="C1872" s="3" t="s">
        <v>3</v>
      </c>
      <c r="D1872" s="3" t="s">
        <v>33</v>
      </c>
      <c r="E1872" s="3" t="s">
        <v>3377</v>
      </c>
      <c r="F1872" s="4">
        <v>43622.46597222222</v>
      </c>
      <c r="G1872" s="3" t="s">
        <v>945</v>
      </c>
      <c r="H1872" s="3" t="s">
        <v>2645</v>
      </c>
      <c r="I1872" s="3" t="s">
        <v>864</v>
      </c>
      <c r="J1872" s="3" t="s">
        <v>7046</v>
      </c>
      <c r="K1872" s="3" t="s">
        <v>7036</v>
      </c>
      <c r="L1872" s="5"/>
    </row>
    <row r="1873" spans="1:12" ht="72" x14ac:dyDescent="0.55000000000000004">
      <c r="A1873" s="9" t="str">
        <f>HYPERLINK("PDF\FOIA-FWS-2020-00724-0001872.pdf","FOIA-FWS-2020-00724-0001872")</f>
        <v>FOIA-FWS-2020-00724-0001872</v>
      </c>
      <c r="B1873" s="3" t="s">
        <v>3376</v>
      </c>
      <c r="C1873" s="3" t="s">
        <v>234</v>
      </c>
      <c r="D1873" s="3" t="s">
        <v>33</v>
      </c>
      <c r="E1873" s="3" t="s">
        <v>867</v>
      </c>
      <c r="F1873" s="4">
        <v>43622.46597222222</v>
      </c>
      <c r="G1873" s="3" t="s">
        <v>3378</v>
      </c>
      <c r="H1873" s="3" t="s">
        <v>3379</v>
      </c>
      <c r="I1873" s="3" t="s">
        <v>7051</v>
      </c>
      <c r="J1873" s="3" t="s">
        <v>7046</v>
      </c>
      <c r="K1873" s="3" t="s">
        <v>7036</v>
      </c>
      <c r="L1873" s="5"/>
    </row>
    <row r="1874" spans="1:12" ht="28.8" x14ac:dyDescent="0.55000000000000004">
      <c r="A1874" s="9" t="str">
        <f>HYPERLINK("PDF\FOIA-FWS-2020-00724-0001873.pdf","FOIA-FWS-2020-00724-0001873")</f>
        <v>FOIA-FWS-2020-00724-0001873</v>
      </c>
      <c r="B1874" s="3" t="s">
        <v>3380</v>
      </c>
      <c r="C1874" s="3" t="s">
        <v>3</v>
      </c>
      <c r="D1874" s="3" t="s">
        <v>33</v>
      </c>
      <c r="E1874" s="3" t="s">
        <v>3381</v>
      </c>
      <c r="F1874" s="4">
        <v>43622.557638888888</v>
      </c>
      <c r="G1874" s="3" t="s">
        <v>963</v>
      </c>
      <c r="H1874" s="3" t="s">
        <v>862</v>
      </c>
      <c r="I1874" s="3" t="s">
        <v>7043</v>
      </c>
      <c r="J1874" s="3"/>
      <c r="K1874" s="3"/>
      <c r="L1874" s="5"/>
    </row>
    <row r="1875" spans="1:12" ht="28.8" x14ac:dyDescent="0.55000000000000004">
      <c r="A1875" s="9" t="str">
        <f>HYPERLINK("PDF\FOIA-FWS-2020-00724-0001874.pdf","FOIA-FWS-2020-00724-0001874")</f>
        <v>FOIA-FWS-2020-00724-0001874</v>
      </c>
      <c r="B1875" s="3" t="s">
        <v>3380</v>
      </c>
      <c r="C1875" s="3" t="s">
        <v>234</v>
      </c>
      <c r="D1875" s="3" t="s">
        <v>33</v>
      </c>
      <c r="E1875" s="3" t="s">
        <v>3382</v>
      </c>
      <c r="F1875" s="4">
        <v>43622.557638888888</v>
      </c>
      <c r="G1875" s="3"/>
      <c r="H1875" s="3"/>
      <c r="I1875" s="3" t="s">
        <v>7043</v>
      </c>
      <c r="J1875" s="3"/>
      <c r="K1875" s="3"/>
      <c r="L1875" s="5"/>
    </row>
    <row r="1876" spans="1:12" ht="28.8" x14ac:dyDescent="0.55000000000000004">
      <c r="A1876" s="9" t="str">
        <f>HYPERLINK("PDF\FOIA-FWS-2020-00724-0001875.pdf","FOIA-FWS-2020-00724-0001875")</f>
        <v>FOIA-FWS-2020-00724-0001875</v>
      </c>
      <c r="B1876" s="3" t="s">
        <v>3380</v>
      </c>
      <c r="C1876" s="3" t="s">
        <v>234</v>
      </c>
      <c r="D1876" s="3" t="s">
        <v>33</v>
      </c>
      <c r="E1876" s="3" t="s">
        <v>3383</v>
      </c>
      <c r="F1876" s="4">
        <v>43622.557638888888</v>
      </c>
      <c r="G1876" s="3"/>
      <c r="H1876" s="3"/>
      <c r="I1876" s="3" t="s">
        <v>7043</v>
      </c>
      <c r="J1876" s="3"/>
      <c r="K1876" s="3"/>
      <c r="L1876" s="5"/>
    </row>
    <row r="1877" spans="1:12" ht="43.2" x14ac:dyDescent="0.55000000000000004">
      <c r="A1877" t="s">
        <v>7025</v>
      </c>
      <c r="B1877" s="3" t="s">
        <v>3380</v>
      </c>
      <c r="C1877" s="3" t="s">
        <v>234</v>
      </c>
      <c r="D1877" s="3" t="s">
        <v>33</v>
      </c>
      <c r="E1877" s="3" t="s">
        <v>3384</v>
      </c>
      <c r="F1877" s="4">
        <v>43622.557638888888</v>
      </c>
      <c r="G1877" s="3"/>
      <c r="H1877" s="3"/>
      <c r="I1877" s="3" t="s">
        <v>7044</v>
      </c>
      <c r="J1877" s="3" t="s">
        <v>7046</v>
      </c>
      <c r="K1877" s="3"/>
      <c r="L1877" s="5"/>
    </row>
    <row r="1878" spans="1:12" ht="28.8" x14ac:dyDescent="0.55000000000000004">
      <c r="A1878" s="9" t="str">
        <f>HYPERLINK("PDF\FOIA-FWS-2020-00724-0001877.pdf","FOIA-FWS-2020-00724-0001877")</f>
        <v>FOIA-FWS-2020-00724-0001877</v>
      </c>
      <c r="B1878" s="3" t="s">
        <v>3385</v>
      </c>
      <c r="C1878" s="3" t="s">
        <v>3</v>
      </c>
      <c r="D1878" s="3" t="s">
        <v>33</v>
      </c>
      <c r="E1878" s="3" t="s">
        <v>3386</v>
      </c>
      <c r="F1878" s="4">
        <v>43622.722222222219</v>
      </c>
      <c r="G1878" s="3" t="s">
        <v>1012</v>
      </c>
      <c r="H1878" s="3" t="s">
        <v>963</v>
      </c>
      <c r="I1878" s="3" t="s">
        <v>7043</v>
      </c>
      <c r="J1878" s="3"/>
      <c r="K1878" s="3"/>
      <c r="L1878" s="5"/>
    </row>
    <row r="1879" spans="1:12" ht="28.8" x14ac:dyDescent="0.55000000000000004">
      <c r="A1879" s="9" t="str">
        <f>HYPERLINK("PDF\FOIA-FWS-2020-00724-0001878.pdf","FOIA-FWS-2020-00724-0001878")</f>
        <v>FOIA-FWS-2020-00724-0001878</v>
      </c>
      <c r="B1879" s="3" t="s">
        <v>3385</v>
      </c>
      <c r="C1879" s="3" t="s">
        <v>234</v>
      </c>
      <c r="D1879" s="3" t="s">
        <v>33</v>
      </c>
      <c r="E1879" s="3" t="s">
        <v>3387</v>
      </c>
      <c r="F1879" s="4">
        <v>43622.722222222219</v>
      </c>
      <c r="G1879" s="3"/>
      <c r="H1879" s="3"/>
      <c r="I1879" s="3" t="s">
        <v>7043</v>
      </c>
      <c r="J1879" s="3"/>
      <c r="K1879" s="3"/>
      <c r="L1879" s="5"/>
    </row>
    <row r="1880" spans="1:12" ht="28.8" x14ac:dyDescent="0.55000000000000004">
      <c r="A1880" s="9" t="str">
        <f>HYPERLINK("PDF\FOIA-FWS-2020-00724-0001879.pdf","FOIA-FWS-2020-00724-0001879")</f>
        <v>FOIA-FWS-2020-00724-0001879</v>
      </c>
      <c r="B1880" s="3" t="s">
        <v>3388</v>
      </c>
      <c r="C1880" s="3" t="s">
        <v>3</v>
      </c>
      <c r="D1880" s="3" t="s">
        <v>33</v>
      </c>
      <c r="E1880" s="3" t="s">
        <v>3389</v>
      </c>
      <c r="F1880" s="4">
        <v>43622.790277777778</v>
      </c>
      <c r="G1880" s="3" t="s">
        <v>963</v>
      </c>
      <c r="H1880" s="3" t="s">
        <v>945</v>
      </c>
      <c r="I1880" s="3" t="s">
        <v>7043</v>
      </c>
      <c r="J1880" s="3"/>
      <c r="K1880" s="3"/>
      <c r="L1880" s="5"/>
    </row>
    <row r="1881" spans="1:12" ht="28.8" x14ac:dyDescent="0.55000000000000004">
      <c r="A1881" s="9" t="str">
        <f>HYPERLINK("PDF\FOIA-FWS-2020-00724-0001880.pdf","FOIA-FWS-2020-00724-0001880")</f>
        <v>FOIA-FWS-2020-00724-0001880</v>
      </c>
      <c r="B1881" s="3" t="s">
        <v>3390</v>
      </c>
      <c r="C1881" s="3" t="s">
        <v>3</v>
      </c>
      <c r="D1881" s="3" t="s">
        <v>33</v>
      </c>
      <c r="E1881" s="3" t="s">
        <v>3391</v>
      </c>
      <c r="F1881" s="4">
        <v>43626.760416666664</v>
      </c>
      <c r="G1881" s="3" t="s">
        <v>955</v>
      </c>
      <c r="H1881" s="3" t="s">
        <v>963</v>
      </c>
      <c r="I1881" s="3" t="s">
        <v>7043</v>
      </c>
      <c r="J1881" s="3"/>
      <c r="K1881" s="3"/>
      <c r="L1881" s="5"/>
    </row>
    <row r="1882" spans="1:12" ht="57.6" x14ac:dyDescent="0.55000000000000004">
      <c r="A1882" s="9" t="str">
        <f>HYPERLINK("PDF\FOIA-FWS-2020-00724-0001881.pdf","FOIA-FWS-2020-00724-0001881")</f>
        <v>FOIA-FWS-2020-00724-0001881</v>
      </c>
      <c r="B1882" s="3" t="s">
        <v>3392</v>
      </c>
      <c r="C1882" s="3" t="s">
        <v>3</v>
      </c>
      <c r="D1882" s="3" t="s">
        <v>33</v>
      </c>
      <c r="E1882" s="3" t="s">
        <v>3393</v>
      </c>
      <c r="F1882" s="4">
        <v>43628.464583333334</v>
      </c>
      <c r="G1882" s="3" t="s">
        <v>963</v>
      </c>
      <c r="H1882" s="3" t="s">
        <v>919</v>
      </c>
      <c r="I1882" s="3" t="s">
        <v>7043</v>
      </c>
      <c r="J1882" s="3"/>
      <c r="K1882" s="3"/>
      <c r="L1882" s="5"/>
    </row>
    <row r="1883" spans="1:12" ht="28.8" x14ac:dyDescent="0.55000000000000004">
      <c r="A1883" s="9" t="str">
        <f>HYPERLINK("PDF\FOIA-FWS-2020-00724-0001882.pdf","FOIA-FWS-2020-00724-0001882")</f>
        <v>FOIA-FWS-2020-00724-0001882</v>
      </c>
      <c r="B1883" s="3" t="s">
        <v>3394</v>
      </c>
      <c r="C1883" s="3" t="s">
        <v>3</v>
      </c>
      <c r="D1883" s="3" t="s">
        <v>33</v>
      </c>
      <c r="E1883" s="3" t="s">
        <v>3395</v>
      </c>
      <c r="F1883" s="4">
        <v>43628.527777777781</v>
      </c>
      <c r="G1883" s="3" t="s">
        <v>872</v>
      </c>
      <c r="H1883" s="3" t="s">
        <v>1034</v>
      </c>
      <c r="I1883" s="3" t="s">
        <v>7043</v>
      </c>
      <c r="J1883" s="3"/>
      <c r="K1883" s="3"/>
      <c r="L1883" s="5"/>
    </row>
    <row r="1884" spans="1:12" ht="28.8" x14ac:dyDescent="0.55000000000000004">
      <c r="A1884" s="9" t="str">
        <f>HYPERLINK("PDF\FOIA-FWS-2020-00724-0001883.pdf","FOIA-FWS-2020-00724-0001883")</f>
        <v>FOIA-FWS-2020-00724-0001883</v>
      </c>
      <c r="B1884" s="3" t="s">
        <v>3394</v>
      </c>
      <c r="C1884" s="3" t="s">
        <v>234</v>
      </c>
      <c r="D1884" s="3" t="s">
        <v>33</v>
      </c>
      <c r="E1884" s="3" t="s">
        <v>3396</v>
      </c>
      <c r="F1884" s="4">
        <v>43628.527777777781</v>
      </c>
      <c r="G1884" s="3"/>
      <c r="H1884" s="3"/>
      <c r="I1884" s="3" t="s">
        <v>7043</v>
      </c>
      <c r="J1884" s="3"/>
      <c r="K1884" s="3"/>
      <c r="L1884" s="5"/>
    </row>
    <row r="1885" spans="1:12" ht="43.2" x14ac:dyDescent="0.55000000000000004">
      <c r="A1885" s="9" t="str">
        <f>HYPERLINK("PDF\FOIA-FWS-2020-00724-0001884.pdf","FOIA-FWS-2020-00724-0001884")</f>
        <v>FOIA-FWS-2020-00724-0001884</v>
      </c>
      <c r="B1885" s="3" t="s">
        <v>3397</v>
      </c>
      <c r="C1885" s="3" t="s">
        <v>3</v>
      </c>
      <c r="D1885" s="3" t="s">
        <v>33</v>
      </c>
      <c r="E1885" s="3" t="s">
        <v>3398</v>
      </c>
      <c r="F1885" s="4">
        <v>43628.542361111111</v>
      </c>
      <c r="G1885" s="3" t="s">
        <v>955</v>
      </c>
      <c r="H1885" s="3" t="s">
        <v>919</v>
      </c>
      <c r="I1885" s="3" t="s">
        <v>7044</v>
      </c>
      <c r="J1885" s="3" t="s">
        <v>7046</v>
      </c>
      <c r="K1885" s="3" t="s">
        <v>7036</v>
      </c>
      <c r="L1885" s="5"/>
    </row>
    <row r="1886" spans="1:12" ht="28.8" x14ac:dyDescent="0.55000000000000004">
      <c r="A1886" s="9" t="str">
        <f>HYPERLINK("PDF\FOIA-FWS-2020-00724-0001885.pdf","FOIA-FWS-2020-00724-0001885")</f>
        <v>FOIA-FWS-2020-00724-0001885</v>
      </c>
      <c r="B1886" s="3" t="s">
        <v>3399</v>
      </c>
      <c r="C1886" s="3" t="s">
        <v>3</v>
      </c>
      <c r="D1886" s="3" t="s">
        <v>33</v>
      </c>
      <c r="E1886" s="3" t="s">
        <v>3400</v>
      </c>
      <c r="F1886" s="4">
        <v>43628.576388888891</v>
      </c>
      <c r="G1886" s="3" t="s">
        <v>861</v>
      </c>
      <c r="H1886" s="3" t="s">
        <v>1034</v>
      </c>
      <c r="I1886" s="3" t="s">
        <v>7043</v>
      </c>
      <c r="J1886" s="3"/>
      <c r="K1886" s="3"/>
      <c r="L1886" s="5"/>
    </row>
    <row r="1887" spans="1:12" ht="28.8" x14ac:dyDescent="0.55000000000000004">
      <c r="A1887" s="9" t="str">
        <f>HYPERLINK("PDF\FOIA-FWS-2020-00724-0001886.pdf","FOIA-FWS-2020-00724-0001886")</f>
        <v>FOIA-FWS-2020-00724-0001886</v>
      </c>
      <c r="B1887" s="3" t="s">
        <v>3401</v>
      </c>
      <c r="C1887" s="3" t="s">
        <v>3</v>
      </c>
      <c r="D1887" s="3" t="s">
        <v>33</v>
      </c>
      <c r="E1887" s="3" t="s">
        <v>3403</v>
      </c>
      <c r="F1887" s="4">
        <v>43628.581944444442</v>
      </c>
      <c r="G1887" s="3" t="s">
        <v>963</v>
      </c>
      <c r="H1887" s="3" t="s">
        <v>3402</v>
      </c>
      <c r="I1887" s="3" t="s">
        <v>7043</v>
      </c>
      <c r="J1887" s="3"/>
      <c r="K1887" s="3"/>
      <c r="L1887" s="5"/>
    </row>
    <row r="1888" spans="1:12" ht="28.8" x14ac:dyDescent="0.55000000000000004">
      <c r="A1888" s="9" t="str">
        <f>HYPERLINK("PDF\FOIA-FWS-2020-00724-0001887.pdf","FOIA-FWS-2020-00724-0001887")</f>
        <v>FOIA-FWS-2020-00724-0001887</v>
      </c>
      <c r="B1888" s="3" t="s">
        <v>3401</v>
      </c>
      <c r="C1888" s="3" t="s">
        <v>234</v>
      </c>
      <c r="D1888" s="3" t="s">
        <v>33</v>
      </c>
      <c r="E1888" s="3" t="s">
        <v>3404</v>
      </c>
      <c r="F1888" s="4">
        <v>43628.581944444442</v>
      </c>
      <c r="G1888" s="3"/>
      <c r="H1888" s="3"/>
      <c r="I1888" s="3" t="s">
        <v>7043</v>
      </c>
      <c r="J1888" s="3"/>
      <c r="K1888" s="3"/>
      <c r="L1888" s="5"/>
    </row>
    <row r="1889" spans="1:12" ht="28.8" x14ac:dyDescent="0.55000000000000004">
      <c r="A1889" s="9" t="str">
        <f>HYPERLINK("PDF\FOIA-FWS-2020-00724-0001888.pdf","FOIA-FWS-2020-00724-0001888")</f>
        <v>FOIA-FWS-2020-00724-0001888</v>
      </c>
      <c r="B1889" s="3" t="s">
        <v>3405</v>
      </c>
      <c r="C1889" s="3" t="s">
        <v>3</v>
      </c>
      <c r="D1889" s="3" t="s">
        <v>33</v>
      </c>
      <c r="E1889" s="3" t="s">
        <v>3406</v>
      </c>
      <c r="F1889" s="4">
        <v>43628.62222222222</v>
      </c>
      <c r="G1889" s="3" t="s">
        <v>1024</v>
      </c>
      <c r="H1889" s="3" t="s">
        <v>2645</v>
      </c>
      <c r="I1889" s="3" t="s">
        <v>7043</v>
      </c>
      <c r="J1889" s="3"/>
      <c r="K1889" s="3"/>
      <c r="L1889" s="5"/>
    </row>
    <row r="1890" spans="1:12" ht="28.8" x14ac:dyDescent="0.55000000000000004">
      <c r="A1890" s="9" t="str">
        <f>HYPERLINK("PDF\FOIA-FWS-2020-00724-0001889.pdf","FOIA-FWS-2020-00724-0001889")</f>
        <v>FOIA-FWS-2020-00724-0001889</v>
      </c>
      <c r="B1890" s="3" t="s">
        <v>3405</v>
      </c>
      <c r="C1890" s="3" t="s">
        <v>234</v>
      </c>
      <c r="D1890" s="3" t="s">
        <v>33</v>
      </c>
      <c r="E1890" s="3" t="s">
        <v>3407</v>
      </c>
      <c r="F1890" s="4">
        <v>43628.62222222222</v>
      </c>
      <c r="G1890" s="3"/>
      <c r="H1890" s="3"/>
      <c r="I1890" s="3" t="s">
        <v>7043</v>
      </c>
      <c r="J1890" s="3"/>
      <c r="K1890" s="3"/>
      <c r="L1890" s="5"/>
    </row>
    <row r="1891" spans="1:12" ht="28.8" x14ac:dyDescent="0.55000000000000004">
      <c r="A1891" s="9" t="str">
        <f>HYPERLINK("PDF\FOIA-FWS-2020-00724-0001890.pdf","FOIA-FWS-2020-00724-0001890")</f>
        <v>FOIA-FWS-2020-00724-0001890</v>
      </c>
      <c r="B1891" s="3" t="s">
        <v>3408</v>
      </c>
      <c r="C1891" s="3" t="s">
        <v>3</v>
      </c>
      <c r="D1891" s="3" t="s">
        <v>33</v>
      </c>
      <c r="E1891" s="3" t="s">
        <v>3409</v>
      </c>
      <c r="F1891" s="4">
        <v>43628.647222222222</v>
      </c>
      <c r="G1891" s="3" t="s">
        <v>919</v>
      </c>
      <c r="H1891" s="3" t="s">
        <v>3298</v>
      </c>
      <c r="I1891" s="3" t="s">
        <v>7043</v>
      </c>
      <c r="J1891" s="3"/>
      <c r="K1891" s="3"/>
      <c r="L1891" s="5"/>
    </row>
    <row r="1892" spans="1:12" ht="28.8" x14ac:dyDescent="0.55000000000000004">
      <c r="A1892" s="9" t="str">
        <f>HYPERLINK("PDF\FOIA-FWS-2020-00724-0001891.pdf","FOIA-FWS-2020-00724-0001891")</f>
        <v>FOIA-FWS-2020-00724-0001891</v>
      </c>
      <c r="B1892" s="3" t="s">
        <v>3408</v>
      </c>
      <c r="C1892" s="3" t="s">
        <v>234</v>
      </c>
      <c r="D1892" s="3" t="s">
        <v>33</v>
      </c>
      <c r="E1892" s="3" t="s">
        <v>3404</v>
      </c>
      <c r="F1892" s="4">
        <v>43628.647222222222</v>
      </c>
      <c r="G1892" s="3"/>
      <c r="H1892" s="3"/>
      <c r="I1892" s="3" t="s">
        <v>7043</v>
      </c>
      <c r="J1892" s="3"/>
      <c r="K1892" s="3"/>
      <c r="L1892" s="5"/>
    </row>
    <row r="1893" spans="1:12" ht="28.8" x14ac:dyDescent="0.55000000000000004">
      <c r="A1893" s="9" t="str">
        <f>HYPERLINK("PDF\FOIA-FWS-2020-00724-0001892.pdf","FOIA-FWS-2020-00724-0001892")</f>
        <v>FOIA-FWS-2020-00724-0001892</v>
      </c>
      <c r="B1893" s="3" t="s">
        <v>3410</v>
      </c>
      <c r="C1893" s="3" t="s">
        <v>3</v>
      </c>
      <c r="D1893" s="3" t="s">
        <v>33</v>
      </c>
      <c r="E1893" s="3" t="s">
        <v>3412</v>
      </c>
      <c r="F1893" s="4">
        <v>43628.668055555558</v>
      </c>
      <c r="G1893" s="3" t="s">
        <v>3411</v>
      </c>
      <c r="H1893" s="3" t="s">
        <v>955</v>
      </c>
      <c r="I1893" s="3" t="s">
        <v>7043</v>
      </c>
      <c r="J1893" s="3"/>
      <c r="K1893" s="3"/>
      <c r="L1893" s="5"/>
    </row>
    <row r="1894" spans="1:12" ht="28.8" x14ac:dyDescent="0.55000000000000004">
      <c r="A1894" s="9" t="str">
        <f>HYPERLINK("PDF\FOIA-FWS-2020-00724-0001893.pdf","FOIA-FWS-2020-00724-0001893")</f>
        <v>FOIA-FWS-2020-00724-0001893</v>
      </c>
      <c r="B1894" s="3" t="s">
        <v>3413</v>
      </c>
      <c r="C1894" s="3" t="s">
        <v>3</v>
      </c>
      <c r="D1894" s="3" t="s">
        <v>33</v>
      </c>
      <c r="E1894" s="3" t="s">
        <v>3414</v>
      </c>
      <c r="F1894" s="4">
        <v>43629</v>
      </c>
      <c r="G1894" s="3"/>
      <c r="H1894" s="3"/>
      <c r="I1894" s="3" t="s">
        <v>7043</v>
      </c>
      <c r="J1894" s="3"/>
      <c r="K1894" s="3"/>
      <c r="L1894" s="5"/>
    </row>
    <row r="1895" spans="1:12" ht="28.8" x14ac:dyDescent="0.55000000000000004">
      <c r="A1895" s="9" t="str">
        <f>HYPERLINK("PDF\FOIA-FWS-2020-00724-0001894.pdf","FOIA-FWS-2020-00724-0001894")</f>
        <v>FOIA-FWS-2020-00724-0001894</v>
      </c>
      <c r="B1895" s="3" t="s">
        <v>3415</v>
      </c>
      <c r="C1895" s="3" t="s">
        <v>3</v>
      </c>
      <c r="D1895" s="3" t="s">
        <v>33</v>
      </c>
      <c r="E1895" s="3" t="s">
        <v>3417</v>
      </c>
      <c r="F1895" s="4">
        <v>43629.345833333333</v>
      </c>
      <c r="G1895" s="3" t="s">
        <v>1034</v>
      </c>
      <c r="H1895" s="3" t="s">
        <v>3416</v>
      </c>
      <c r="I1895" s="3" t="s">
        <v>7043</v>
      </c>
      <c r="J1895" s="3"/>
      <c r="K1895" s="3"/>
      <c r="L1895" s="5"/>
    </row>
    <row r="1896" spans="1:12" ht="28.8" x14ac:dyDescent="0.55000000000000004">
      <c r="A1896" s="9" t="str">
        <f>HYPERLINK("PDF\FOIA-FWS-2020-00724-0001895.pdf","FOIA-FWS-2020-00724-0001895")</f>
        <v>FOIA-FWS-2020-00724-0001895</v>
      </c>
      <c r="B1896" s="3" t="s">
        <v>3415</v>
      </c>
      <c r="C1896" s="3" t="s">
        <v>234</v>
      </c>
      <c r="D1896" s="3" t="s">
        <v>33</v>
      </c>
      <c r="E1896" s="3" t="s">
        <v>3417</v>
      </c>
      <c r="F1896" s="4">
        <v>43629.345833333333</v>
      </c>
      <c r="G1896" s="3"/>
      <c r="H1896" s="3"/>
      <c r="I1896" s="3" t="s">
        <v>7043</v>
      </c>
      <c r="J1896" s="3"/>
      <c r="K1896" s="3"/>
      <c r="L1896" s="5"/>
    </row>
    <row r="1897" spans="1:12" ht="28.8" x14ac:dyDescent="0.55000000000000004">
      <c r="A1897" s="9" t="str">
        <f>HYPERLINK("PDF\FOIA-FWS-2020-00724-0001896.pdf","FOIA-FWS-2020-00724-0001896")</f>
        <v>FOIA-FWS-2020-00724-0001896</v>
      </c>
      <c r="B1897" s="3" t="s">
        <v>3418</v>
      </c>
      <c r="C1897" s="3" t="s">
        <v>3</v>
      </c>
      <c r="D1897" s="3" t="s">
        <v>33</v>
      </c>
      <c r="E1897" s="3" t="s">
        <v>3419</v>
      </c>
      <c r="F1897" s="4">
        <v>43629.492361111108</v>
      </c>
      <c r="G1897" s="3" t="s">
        <v>955</v>
      </c>
      <c r="H1897" s="3" t="s">
        <v>963</v>
      </c>
      <c r="I1897" s="3" t="s">
        <v>7043</v>
      </c>
      <c r="J1897" s="3"/>
      <c r="K1897" s="3"/>
      <c r="L1897" s="5"/>
    </row>
    <row r="1898" spans="1:12" ht="28.8" x14ac:dyDescent="0.55000000000000004">
      <c r="A1898" s="9" t="str">
        <f>HYPERLINK("PDF\FOIA-FWS-2020-00724-0001897.pdf","FOIA-FWS-2020-00724-0001897")</f>
        <v>FOIA-FWS-2020-00724-0001897</v>
      </c>
      <c r="B1898" s="3" t="s">
        <v>3418</v>
      </c>
      <c r="C1898" s="3" t="s">
        <v>234</v>
      </c>
      <c r="D1898" s="3" t="s">
        <v>33</v>
      </c>
      <c r="E1898" s="3" t="s">
        <v>3420</v>
      </c>
      <c r="F1898" s="4">
        <v>43629.492361111108</v>
      </c>
      <c r="G1898" s="3"/>
      <c r="H1898" s="3"/>
      <c r="I1898" s="3" t="s">
        <v>7043</v>
      </c>
      <c r="J1898" s="3"/>
      <c r="K1898" s="3"/>
      <c r="L1898" s="5"/>
    </row>
    <row r="1899" spans="1:12" ht="28.8" x14ac:dyDescent="0.55000000000000004">
      <c r="A1899" s="9" t="str">
        <f>HYPERLINK("PDF\FOIA-FWS-2020-00724-0001898.pdf","FOIA-FWS-2020-00724-0001898")</f>
        <v>FOIA-FWS-2020-00724-0001898</v>
      </c>
      <c r="B1899" s="3" t="s">
        <v>3421</v>
      </c>
      <c r="C1899" s="3" t="s">
        <v>3</v>
      </c>
      <c r="D1899" s="3" t="s">
        <v>33</v>
      </c>
      <c r="E1899" s="3" t="s">
        <v>3423</v>
      </c>
      <c r="F1899" s="4">
        <v>43629.74722222222</v>
      </c>
      <c r="G1899" s="3" t="s">
        <v>955</v>
      </c>
      <c r="H1899" s="3" t="s">
        <v>3422</v>
      </c>
      <c r="I1899" s="3" t="s">
        <v>7043</v>
      </c>
      <c r="J1899" s="3"/>
      <c r="K1899" s="3"/>
      <c r="L1899" s="5"/>
    </row>
    <row r="1900" spans="1:12" ht="28.8" x14ac:dyDescent="0.55000000000000004">
      <c r="A1900" s="9" t="str">
        <f>HYPERLINK("PDF\FOIA-FWS-2020-00724-0001899.pdf","FOIA-FWS-2020-00724-0001899")</f>
        <v>FOIA-FWS-2020-00724-0001899</v>
      </c>
      <c r="B1900" s="3" t="s">
        <v>3421</v>
      </c>
      <c r="C1900" s="3" t="s">
        <v>234</v>
      </c>
      <c r="D1900" s="3" t="s">
        <v>33</v>
      </c>
      <c r="E1900" s="3" t="s">
        <v>3424</v>
      </c>
      <c r="F1900" s="4">
        <v>43629.74722222222</v>
      </c>
      <c r="G1900" s="3"/>
      <c r="H1900" s="3"/>
      <c r="I1900" s="3" t="s">
        <v>7043</v>
      </c>
      <c r="J1900" s="3"/>
      <c r="K1900" s="3"/>
      <c r="L1900" s="5"/>
    </row>
    <row r="1901" spans="1:12" ht="43.2" x14ac:dyDescent="0.55000000000000004">
      <c r="A1901" s="9" t="str">
        <f>HYPERLINK("PDF\FOIA-FWS-2020-00724-0001900.pdf","FOIA-FWS-2020-00724-0001900")</f>
        <v>FOIA-FWS-2020-00724-0001900</v>
      </c>
      <c r="B1901" s="3" t="s">
        <v>3425</v>
      </c>
      <c r="C1901" s="3" t="s">
        <v>3</v>
      </c>
      <c r="D1901" s="3" t="s">
        <v>33</v>
      </c>
      <c r="E1901" s="3" t="s">
        <v>3426</v>
      </c>
      <c r="F1901" s="4">
        <v>43629.770138888889</v>
      </c>
      <c r="G1901" s="3" t="s">
        <v>955</v>
      </c>
      <c r="H1901" s="3" t="s">
        <v>919</v>
      </c>
      <c r="I1901" s="3" t="s">
        <v>7043</v>
      </c>
      <c r="J1901" s="3"/>
      <c r="K1901" s="3"/>
      <c r="L1901" s="5"/>
    </row>
    <row r="1902" spans="1:12" ht="28.8" x14ac:dyDescent="0.55000000000000004">
      <c r="A1902" s="9" t="str">
        <f>HYPERLINK("PDF\FOIA-FWS-2020-00724-0001901.pdf","FOIA-FWS-2020-00724-0001901")</f>
        <v>FOIA-FWS-2020-00724-0001901</v>
      </c>
      <c r="B1902" s="3" t="s">
        <v>3427</v>
      </c>
      <c r="C1902" s="3" t="s">
        <v>3</v>
      </c>
      <c r="D1902" s="3" t="s">
        <v>33</v>
      </c>
      <c r="E1902" s="3" t="s">
        <v>3428</v>
      </c>
      <c r="F1902" s="4">
        <v>43630</v>
      </c>
      <c r="G1902" s="3"/>
      <c r="H1902" s="3"/>
      <c r="I1902" s="3" t="s">
        <v>7043</v>
      </c>
      <c r="J1902" s="3"/>
      <c r="K1902" s="3"/>
      <c r="L1902" s="5"/>
    </row>
    <row r="1903" spans="1:12" ht="28.8" x14ac:dyDescent="0.55000000000000004">
      <c r="A1903" s="9" t="str">
        <f>HYPERLINK("PDF\FOIA-FWS-2020-00724-0001902.pdf","FOIA-FWS-2020-00724-0001902")</f>
        <v>FOIA-FWS-2020-00724-0001902</v>
      </c>
      <c r="B1903" s="3" t="s">
        <v>3429</v>
      </c>
      <c r="C1903" s="3" t="s">
        <v>3</v>
      </c>
      <c r="D1903" s="3" t="s">
        <v>33</v>
      </c>
      <c r="E1903" s="3" t="s">
        <v>3430</v>
      </c>
      <c r="F1903" s="4">
        <v>43630.695833333331</v>
      </c>
      <c r="G1903" s="3" t="s">
        <v>1119</v>
      </c>
      <c r="H1903" s="3" t="s">
        <v>955</v>
      </c>
      <c r="I1903" s="3" t="s">
        <v>7043</v>
      </c>
      <c r="J1903" s="3"/>
      <c r="K1903" s="3"/>
      <c r="L1903" s="5"/>
    </row>
    <row r="1904" spans="1:12" ht="28.8" x14ac:dyDescent="0.55000000000000004">
      <c r="A1904" s="9" t="str">
        <f>HYPERLINK("PDF\FOIA-FWS-2020-00724-0001903.pdf","FOIA-FWS-2020-00724-0001903")</f>
        <v>FOIA-FWS-2020-00724-0001903</v>
      </c>
      <c r="B1904" s="3" t="s">
        <v>3429</v>
      </c>
      <c r="C1904" s="3" t="s">
        <v>234</v>
      </c>
      <c r="D1904" s="3" t="s">
        <v>33</v>
      </c>
      <c r="E1904" s="3" t="s">
        <v>3431</v>
      </c>
      <c r="F1904" s="4">
        <v>43630.695833333331</v>
      </c>
      <c r="G1904" s="3"/>
      <c r="H1904" s="3"/>
      <c r="I1904" s="3" t="s">
        <v>7043</v>
      </c>
      <c r="J1904" s="3"/>
      <c r="K1904" s="3"/>
      <c r="L1904" s="5"/>
    </row>
    <row r="1905" spans="1:12" ht="28.8" x14ac:dyDescent="0.55000000000000004">
      <c r="A1905" s="9" t="str">
        <f>HYPERLINK("PDF\FOIA-FWS-2020-00724-0001904.pdf","FOIA-FWS-2020-00724-0001904")</f>
        <v>FOIA-FWS-2020-00724-0001904</v>
      </c>
      <c r="B1905" s="3" t="s">
        <v>3432</v>
      </c>
      <c r="C1905" s="3" t="s">
        <v>3</v>
      </c>
      <c r="D1905" s="3" t="s">
        <v>33</v>
      </c>
      <c r="E1905" s="3" t="s">
        <v>3433</v>
      </c>
      <c r="F1905" s="4">
        <v>43633</v>
      </c>
      <c r="G1905" s="3"/>
      <c r="H1905" s="3"/>
      <c r="I1905" s="3" t="s">
        <v>7043</v>
      </c>
      <c r="J1905" s="3"/>
      <c r="K1905" s="3"/>
      <c r="L1905" s="5"/>
    </row>
    <row r="1906" spans="1:12" ht="28.8" x14ac:dyDescent="0.55000000000000004">
      <c r="A1906" s="9" t="str">
        <f>HYPERLINK("PDF\FOIA-FWS-2020-00724-0001905.pdf","FOIA-FWS-2020-00724-0001905")</f>
        <v>FOIA-FWS-2020-00724-0001905</v>
      </c>
      <c r="B1906" s="3" t="s">
        <v>3434</v>
      </c>
      <c r="C1906" s="3" t="s">
        <v>3</v>
      </c>
      <c r="D1906" s="3" t="s">
        <v>160</v>
      </c>
      <c r="E1906" s="3" t="s">
        <v>3435</v>
      </c>
      <c r="F1906" s="4">
        <v>43633</v>
      </c>
      <c r="G1906" s="3"/>
      <c r="H1906" s="3"/>
      <c r="I1906" s="3" t="s">
        <v>7043</v>
      </c>
      <c r="J1906" s="3"/>
      <c r="K1906" s="3"/>
      <c r="L1906" s="5"/>
    </row>
    <row r="1907" spans="1:12" ht="28.8" x14ac:dyDescent="0.55000000000000004">
      <c r="A1907" s="9" t="str">
        <f>HYPERLINK("PDF\FOIA-FWS-2020-00724-0001906.pdf","FOIA-FWS-2020-00724-0001906")</f>
        <v>FOIA-FWS-2020-00724-0001906</v>
      </c>
      <c r="B1907" s="3" t="s">
        <v>3436</v>
      </c>
      <c r="C1907" s="3" t="s">
        <v>3</v>
      </c>
      <c r="D1907" s="3" t="s">
        <v>33</v>
      </c>
      <c r="E1907" s="3" t="s">
        <v>3437</v>
      </c>
      <c r="F1907" s="4">
        <v>43633.476388888892</v>
      </c>
      <c r="G1907" s="3" t="s">
        <v>1119</v>
      </c>
      <c r="H1907" s="3" t="s">
        <v>1366</v>
      </c>
      <c r="I1907" s="3" t="s">
        <v>7043</v>
      </c>
      <c r="J1907" s="3"/>
      <c r="K1907" s="3"/>
      <c r="L1907" s="5"/>
    </row>
    <row r="1908" spans="1:12" ht="28.8" x14ac:dyDescent="0.55000000000000004">
      <c r="A1908" s="9" t="str">
        <f>HYPERLINK("PDF\FOIA-FWS-2020-00724-0001907.pdf","FOIA-FWS-2020-00724-0001907")</f>
        <v>FOIA-FWS-2020-00724-0001907</v>
      </c>
      <c r="B1908" s="3" t="s">
        <v>3436</v>
      </c>
      <c r="C1908" s="3" t="s">
        <v>234</v>
      </c>
      <c r="D1908" s="3" t="s">
        <v>33</v>
      </c>
      <c r="E1908" s="3" t="s">
        <v>3438</v>
      </c>
      <c r="F1908" s="4">
        <v>43633.476388888892</v>
      </c>
      <c r="G1908" s="3"/>
      <c r="H1908" s="3"/>
      <c r="I1908" s="3" t="s">
        <v>7043</v>
      </c>
      <c r="J1908" s="3"/>
      <c r="K1908" s="3"/>
      <c r="L1908" s="5"/>
    </row>
    <row r="1909" spans="1:12" ht="28.8" x14ac:dyDescent="0.55000000000000004">
      <c r="A1909" s="9" t="str">
        <f>HYPERLINK("PDF\FOIA-FWS-2020-00724-0001908.pdf","FOIA-FWS-2020-00724-0001908")</f>
        <v>FOIA-FWS-2020-00724-0001908</v>
      </c>
      <c r="B1909" s="3" t="s">
        <v>3439</v>
      </c>
      <c r="C1909" s="3" t="s">
        <v>3</v>
      </c>
      <c r="D1909" s="3" t="s">
        <v>33</v>
      </c>
      <c r="E1909" s="3" t="s">
        <v>3440</v>
      </c>
      <c r="F1909" s="4">
        <v>43633.647916666669</v>
      </c>
      <c r="G1909" s="3" t="s">
        <v>1119</v>
      </c>
      <c r="H1909" s="3" t="s">
        <v>1366</v>
      </c>
      <c r="I1909" s="3" t="s">
        <v>7043</v>
      </c>
      <c r="J1909" s="3"/>
      <c r="K1909" s="3"/>
      <c r="L1909" s="5"/>
    </row>
    <row r="1910" spans="1:12" ht="28.8" x14ac:dyDescent="0.55000000000000004">
      <c r="A1910" s="9" t="str">
        <f>HYPERLINK("PDF\FOIA-FWS-2020-00724-0001909.pdf","FOIA-FWS-2020-00724-0001909")</f>
        <v>FOIA-FWS-2020-00724-0001909</v>
      </c>
      <c r="B1910" s="3" t="s">
        <v>3439</v>
      </c>
      <c r="C1910" s="3" t="s">
        <v>234</v>
      </c>
      <c r="D1910" s="3" t="s">
        <v>33</v>
      </c>
      <c r="E1910" s="3" t="s">
        <v>3441</v>
      </c>
      <c r="F1910" s="4">
        <v>43633.647916666669</v>
      </c>
      <c r="G1910" s="3"/>
      <c r="H1910" s="3"/>
      <c r="I1910" s="3" t="s">
        <v>7043</v>
      </c>
      <c r="J1910" s="3"/>
      <c r="K1910" s="3"/>
      <c r="L1910" s="5"/>
    </row>
    <row r="1911" spans="1:12" ht="28.8" x14ac:dyDescent="0.55000000000000004">
      <c r="A1911" s="9" t="str">
        <f>HYPERLINK("PDF\FOIA-FWS-2020-00724-0001910.pdf","FOIA-FWS-2020-00724-0001910")</f>
        <v>FOIA-FWS-2020-00724-0001910</v>
      </c>
      <c r="B1911" s="3" t="s">
        <v>3442</v>
      </c>
      <c r="C1911" s="3" t="s">
        <v>3</v>
      </c>
      <c r="D1911" s="3" t="s">
        <v>33</v>
      </c>
      <c r="E1911" s="3" t="s">
        <v>3443</v>
      </c>
      <c r="F1911" s="4">
        <v>43633.672222222223</v>
      </c>
      <c r="G1911" s="3" t="s">
        <v>1119</v>
      </c>
      <c r="H1911" s="3" t="s">
        <v>861</v>
      </c>
      <c r="I1911" s="3" t="s">
        <v>7043</v>
      </c>
      <c r="J1911" s="3"/>
      <c r="K1911" s="3"/>
      <c r="L1911" s="5"/>
    </row>
    <row r="1912" spans="1:12" ht="28.8" x14ac:dyDescent="0.55000000000000004">
      <c r="A1912" s="9" t="str">
        <f>HYPERLINK("PDF\FOIA-FWS-2020-00724-0001911.pdf","FOIA-FWS-2020-00724-0001911")</f>
        <v>FOIA-FWS-2020-00724-0001911</v>
      </c>
      <c r="B1912" s="3" t="s">
        <v>3442</v>
      </c>
      <c r="C1912" s="3" t="s">
        <v>234</v>
      </c>
      <c r="D1912" s="3" t="s">
        <v>33</v>
      </c>
      <c r="E1912" s="3" t="s">
        <v>3444</v>
      </c>
      <c r="F1912" s="4">
        <v>43633.672222222223</v>
      </c>
      <c r="G1912" s="3"/>
      <c r="H1912" s="3"/>
      <c r="I1912" s="3" t="s">
        <v>7043</v>
      </c>
      <c r="J1912" s="3"/>
      <c r="K1912" s="3"/>
      <c r="L1912" s="5"/>
    </row>
    <row r="1913" spans="1:12" ht="28.8" x14ac:dyDescent="0.55000000000000004">
      <c r="A1913" s="9" t="str">
        <f>HYPERLINK("PDF\FOIA-FWS-2020-00724-0001912.pdf","FOIA-FWS-2020-00724-0001912")</f>
        <v>FOIA-FWS-2020-00724-0001912</v>
      </c>
      <c r="B1913" s="3" t="s">
        <v>3445</v>
      </c>
      <c r="C1913" s="3" t="s">
        <v>3</v>
      </c>
      <c r="D1913" s="3" t="s">
        <v>33</v>
      </c>
      <c r="E1913" s="3" t="s">
        <v>3446</v>
      </c>
      <c r="F1913" s="4">
        <v>43633.720138888886</v>
      </c>
      <c r="G1913" s="3" t="s">
        <v>955</v>
      </c>
      <c r="H1913" s="3" t="s">
        <v>861</v>
      </c>
      <c r="I1913" s="3" t="s">
        <v>7043</v>
      </c>
      <c r="J1913" s="3"/>
      <c r="K1913" s="3"/>
      <c r="L1913" s="5"/>
    </row>
    <row r="1914" spans="1:12" ht="28.8" x14ac:dyDescent="0.55000000000000004">
      <c r="A1914" s="9" t="str">
        <f>HYPERLINK("PDF\FOIA-FWS-2020-00724-0001913.pdf","FOIA-FWS-2020-00724-0001913")</f>
        <v>FOIA-FWS-2020-00724-0001913</v>
      </c>
      <c r="B1914" s="3" t="s">
        <v>3445</v>
      </c>
      <c r="C1914" s="3" t="s">
        <v>234</v>
      </c>
      <c r="D1914" s="3" t="s">
        <v>33</v>
      </c>
      <c r="E1914" s="3" t="s">
        <v>3447</v>
      </c>
      <c r="F1914" s="4">
        <v>43633.720138888886</v>
      </c>
      <c r="G1914" s="3"/>
      <c r="H1914" s="3"/>
      <c r="I1914" s="3" t="s">
        <v>7043</v>
      </c>
      <c r="J1914" s="3"/>
      <c r="K1914" s="3"/>
      <c r="L1914" s="5"/>
    </row>
    <row r="1915" spans="1:12" ht="43.2" x14ac:dyDescent="0.55000000000000004">
      <c r="A1915" s="9" t="str">
        <f>HYPERLINK("PDF\FOIA-FWS-2020-00724-0001914.pdf","FOIA-FWS-2020-00724-0001914")</f>
        <v>FOIA-FWS-2020-00724-0001914</v>
      </c>
      <c r="B1915" s="3" t="s">
        <v>3448</v>
      </c>
      <c r="C1915" s="3" t="s">
        <v>3</v>
      </c>
      <c r="D1915" s="3" t="s">
        <v>33</v>
      </c>
      <c r="E1915" s="3" t="s">
        <v>3449</v>
      </c>
      <c r="F1915" s="4">
        <v>43633.731249999997</v>
      </c>
      <c r="G1915" s="3" t="s">
        <v>1060</v>
      </c>
      <c r="H1915" s="3" t="s">
        <v>945</v>
      </c>
      <c r="I1915" s="3" t="s">
        <v>7044</v>
      </c>
      <c r="J1915" s="3" t="s">
        <v>7046</v>
      </c>
      <c r="K1915" s="3" t="s">
        <v>7036</v>
      </c>
      <c r="L1915" s="5"/>
    </row>
    <row r="1916" spans="1:12" ht="28.8" x14ac:dyDescent="0.55000000000000004">
      <c r="A1916" s="9" t="str">
        <f>HYPERLINK("PDF\FOIA-FWS-2020-00724-0001915.pdf","FOIA-FWS-2020-00724-0001915")</f>
        <v>FOIA-FWS-2020-00724-0001915</v>
      </c>
      <c r="B1916" s="3" t="s">
        <v>3450</v>
      </c>
      <c r="C1916" s="3" t="s">
        <v>3</v>
      </c>
      <c r="D1916" s="3" t="s">
        <v>33</v>
      </c>
      <c r="E1916" s="3" t="s">
        <v>3451</v>
      </c>
      <c r="F1916" s="4">
        <v>43633.74722222222</v>
      </c>
      <c r="G1916" s="3" t="s">
        <v>861</v>
      </c>
      <c r="H1916" s="3" t="s">
        <v>955</v>
      </c>
      <c r="I1916" s="3" t="s">
        <v>7043</v>
      </c>
      <c r="J1916" s="3"/>
      <c r="K1916" s="3"/>
      <c r="L1916" s="5"/>
    </row>
    <row r="1917" spans="1:12" ht="28.8" x14ac:dyDescent="0.55000000000000004">
      <c r="A1917" s="9" t="str">
        <f>HYPERLINK("PDF\FOIA-FWS-2020-00724-0001916.pdf","FOIA-FWS-2020-00724-0001916")</f>
        <v>FOIA-FWS-2020-00724-0001916</v>
      </c>
      <c r="B1917" s="3" t="s">
        <v>3450</v>
      </c>
      <c r="C1917" s="3" t="s">
        <v>234</v>
      </c>
      <c r="D1917" s="3" t="s">
        <v>33</v>
      </c>
      <c r="E1917" s="3" t="s">
        <v>3452</v>
      </c>
      <c r="F1917" s="4">
        <v>43633.74722222222</v>
      </c>
      <c r="G1917" s="3"/>
      <c r="H1917" s="3"/>
      <c r="I1917" s="3" t="s">
        <v>7043</v>
      </c>
      <c r="J1917" s="3"/>
      <c r="K1917" s="3"/>
      <c r="L1917" s="5"/>
    </row>
    <row r="1918" spans="1:12" ht="28.8" x14ac:dyDescent="0.55000000000000004">
      <c r="A1918" s="9" t="str">
        <f>HYPERLINK("PDF\FOIA-FWS-2020-00724-0001917.pdf","FOIA-FWS-2020-00724-0001917")</f>
        <v>FOIA-FWS-2020-00724-0001917</v>
      </c>
      <c r="B1918" s="3" t="s">
        <v>3453</v>
      </c>
      <c r="C1918" s="3" t="s">
        <v>3</v>
      </c>
      <c r="D1918" s="3" t="s">
        <v>33</v>
      </c>
      <c r="E1918" s="3" t="s">
        <v>3451</v>
      </c>
      <c r="F1918" s="4">
        <v>43633.768055555556</v>
      </c>
      <c r="G1918" s="3" t="s">
        <v>1119</v>
      </c>
      <c r="H1918" s="3" t="s">
        <v>861</v>
      </c>
      <c r="I1918" s="3" t="s">
        <v>7043</v>
      </c>
      <c r="J1918" s="3"/>
      <c r="K1918" s="3"/>
      <c r="L1918" s="5"/>
    </row>
    <row r="1919" spans="1:12" ht="28.8" x14ac:dyDescent="0.55000000000000004">
      <c r="A1919" s="9" t="str">
        <f>HYPERLINK("PDF\FOIA-FWS-2020-00724-0001918.pdf","FOIA-FWS-2020-00724-0001918")</f>
        <v>FOIA-FWS-2020-00724-0001918</v>
      </c>
      <c r="B1919" s="3" t="s">
        <v>3453</v>
      </c>
      <c r="C1919" s="3" t="s">
        <v>234</v>
      </c>
      <c r="D1919" s="3" t="s">
        <v>33</v>
      </c>
      <c r="E1919" s="3" t="s">
        <v>3454</v>
      </c>
      <c r="F1919" s="4">
        <v>43633.768055555556</v>
      </c>
      <c r="G1919" s="3"/>
      <c r="H1919" s="3"/>
      <c r="I1919" s="3" t="s">
        <v>7043</v>
      </c>
      <c r="J1919" s="3"/>
      <c r="K1919" s="3"/>
      <c r="L1919" s="5"/>
    </row>
    <row r="1920" spans="1:12" ht="28.8" x14ac:dyDescent="0.55000000000000004">
      <c r="A1920" s="9" t="str">
        <f>HYPERLINK("PDF\FOIA-FWS-2020-00724-0001919.pdf","FOIA-FWS-2020-00724-0001919")</f>
        <v>FOIA-FWS-2020-00724-0001919</v>
      </c>
      <c r="B1920" s="3" t="s">
        <v>3455</v>
      </c>
      <c r="C1920" s="3" t="s">
        <v>3</v>
      </c>
      <c r="D1920" s="3" t="s">
        <v>33</v>
      </c>
      <c r="E1920" s="3" t="s">
        <v>3457</v>
      </c>
      <c r="F1920" s="4">
        <v>43633.775000000001</v>
      </c>
      <c r="G1920" s="3" t="s">
        <v>861</v>
      </c>
      <c r="H1920" s="3" t="s">
        <v>3456</v>
      </c>
      <c r="I1920" s="3" t="s">
        <v>7043</v>
      </c>
      <c r="J1920" s="3"/>
      <c r="K1920" s="3"/>
      <c r="L1920" s="5"/>
    </row>
    <row r="1921" spans="1:12" ht="28.8" x14ac:dyDescent="0.55000000000000004">
      <c r="A1921" s="9" t="str">
        <f>HYPERLINK("PDF\FOIA-FWS-2020-00724-0001920.pdf","FOIA-FWS-2020-00724-0001920")</f>
        <v>FOIA-FWS-2020-00724-0001920</v>
      </c>
      <c r="B1921" s="3" t="s">
        <v>3455</v>
      </c>
      <c r="C1921" s="3" t="s">
        <v>234</v>
      </c>
      <c r="D1921" s="3" t="s">
        <v>33</v>
      </c>
      <c r="E1921" s="3" t="s">
        <v>3454</v>
      </c>
      <c r="F1921" s="4">
        <v>43633.775000000001</v>
      </c>
      <c r="G1921" s="3"/>
      <c r="H1921" s="3"/>
      <c r="I1921" s="3" t="s">
        <v>7043</v>
      </c>
      <c r="J1921" s="3"/>
      <c r="K1921" s="3"/>
      <c r="L1921" s="5"/>
    </row>
    <row r="1922" spans="1:12" ht="28.8" x14ac:dyDescent="0.55000000000000004">
      <c r="A1922" s="9" t="str">
        <f>HYPERLINK("PDF\FOIA-FWS-2020-00724-0001921.pdf","FOIA-FWS-2020-00724-0001921")</f>
        <v>FOIA-FWS-2020-00724-0001921</v>
      </c>
      <c r="B1922" s="3" t="s">
        <v>3458</v>
      </c>
      <c r="C1922" s="3" t="s">
        <v>3</v>
      </c>
      <c r="D1922" s="3" t="s">
        <v>33</v>
      </c>
      <c r="E1922" s="3" t="s">
        <v>3459</v>
      </c>
      <c r="F1922" s="4">
        <v>43634.834027777775</v>
      </c>
      <c r="G1922" s="3" t="s">
        <v>955</v>
      </c>
      <c r="H1922" s="3" t="s">
        <v>963</v>
      </c>
      <c r="I1922" s="3" t="s">
        <v>7043</v>
      </c>
      <c r="J1922" s="3"/>
      <c r="K1922" s="3"/>
      <c r="L1922" s="5"/>
    </row>
    <row r="1923" spans="1:12" ht="43.2" x14ac:dyDescent="0.55000000000000004">
      <c r="A1923" s="9" t="str">
        <f>HYPERLINK("PDF\FOIA-FWS-2020-00724-0001922.pdf","FOIA-FWS-2020-00724-0001922")</f>
        <v>FOIA-FWS-2020-00724-0001922</v>
      </c>
      <c r="B1923" s="3" t="s">
        <v>3460</v>
      </c>
      <c r="C1923" s="3" t="s">
        <v>3</v>
      </c>
      <c r="D1923" s="3" t="s">
        <v>33</v>
      </c>
      <c r="E1923" s="3" t="s">
        <v>3461</v>
      </c>
      <c r="F1923" s="4">
        <v>43635.561111111114</v>
      </c>
      <c r="G1923" s="3" t="s">
        <v>919</v>
      </c>
      <c r="H1923" s="3" t="s">
        <v>955</v>
      </c>
      <c r="I1923" s="3" t="s">
        <v>7043</v>
      </c>
      <c r="J1923" s="3"/>
      <c r="K1923" s="3"/>
      <c r="L1923" s="5"/>
    </row>
    <row r="1924" spans="1:12" ht="28.8" x14ac:dyDescent="0.55000000000000004">
      <c r="A1924" s="9" t="str">
        <f>HYPERLINK("PDF\FOIA-FWS-2020-00724-0001923.pdf","FOIA-FWS-2020-00724-0001923")</f>
        <v>FOIA-FWS-2020-00724-0001923</v>
      </c>
      <c r="B1924" s="3" t="s">
        <v>3460</v>
      </c>
      <c r="C1924" s="3" t="s">
        <v>234</v>
      </c>
      <c r="D1924" s="3" t="s">
        <v>33</v>
      </c>
      <c r="E1924" s="3" t="s">
        <v>3462</v>
      </c>
      <c r="F1924" s="4">
        <v>43635.561111111114</v>
      </c>
      <c r="G1924" s="3"/>
      <c r="H1924" s="3"/>
      <c r="I1924" s="3" t="s">
        <v>7043</v>
      </c>
      <c r="J1924" s="3"/>
      <c r="K1924" s="3"/>
      <c r="L1924" s="5"/>
    </row>
    <row r="1925" spans="1:12" ht="28.8" x14ac:dyDescent="0.55000000000000004">
      <c r="A1925" s="9" t="str">
        <f>HYPERLINK("PDF\FOIA-FWS-2020-00724-0001924.pdf","FOIA-FWS-2020-00724-0001924")</f>
        <v>FOIA-FWS-2020-00724-0001924</v>
      </c>
      <c r="B1925" s="3" t="s">
        <v>3463</v>
      </c>
      <c r="C1925" s="3" t="s">
        <v>3</v>
      </c>
      <c r="D1925" s="3" t="s">
        <v>33</v>
      </c>
      <c r="E1925" s="3" t="s">
        <v>3464</v>
      </c>
      <c r="F1925" s="4">
        <v>43635.690972222219</v>
      </c>
      <c r="G1925" s="3" t="s">
        <v>919</v>
      </c>
      <c r="H1925" s="3" t="s">
        <v>955</v>
      </c>
      <c r="I1925" s="3" t="s">
        <v>7043</v>
      </c>
      <c r="J1925" s="3"/>
      <c r="K1925" s="3"/>
      <c r="L1925" s="5"/>
    </row>
    <row r="1926" spans="1:12" ht="28.8" x14ac:dyDescent="0.55000000000000004">
      <c r="A1926" s="9" t="str">
        <f>HYPERLINK("PDF\FOIA-FWS-2020-00724-0001925.pdf","FOIA-FWS-2020-00724-0001925")</f>
        <v>FOIA-FWS-2020-00724-0001925</v>
      </c>
      <c r="B1926" s="3" t="s">
        <v>3465</v>
      </c>
      <c r="C1926" s="3" t="s">
        <v>3</v>
      </c>
      <c r="D1926" s="3" t="s">
        <v>33</v>
      </c>
      <c r="E1926" s="3" t="s">
        <v>3466</v>
      </c>
      <c r="F1926" s="4">
        <v>43636.53125</v>
      </c>
      <c r="G1926" s="3" t="s">
        <v>955</v>
      </c>
      <c r="H1926" s="3" t="s">
        <v>861</v>
      </c>
      <c r="I1926" s="3" t="s">
        <v>7043</v>
      </c>
      <c r="J1926" s="3"/>
      <c r="K1926" s="3"/>
      <c r="L1926" s="5"/>
    </row>
    <row r="1927" spans="1:12" ht="28.8" x14ac:dyDescent="0.55000000000000004">
      <c r="A1927" s="9" t="str">
        <f>HYPERLINK("PDF\FOIA-FWS-2020-00724-0001926.pdf","FOIA-FWS-2020-00724-0001926")</f>
        <v>FOIA-FWS-2020-00724-0001926</v>
      </c>
      <c r="B1927" s="3" t="s">
        <v>3467</v>
      </c>
      <c r="C1927" s="3" t="s">
        <v>3</v>
      </c>
      <c r="D1927" s="3" t="s">
        <v>33</v>
      </c>
      <c r="E1927" s="3" t="s">
        <v>3469</v>
      </c>
      <c r="F1927" s="4">
        <v>43636.775000000001</v>
      </c>
      <c r="G1927" s="3" t="s">
        <v>3468</v>
      </c>
      <c r="H1927" s="3" t="s">
        <v>955</v>
      </c>
      <c r="I1927" s="3" t="s">
        <v>7043</v>
      </c>
      <c r="J1927" s="3"/>
      <c r="K1927" s="3"/>
      <c r="L1927" s="5"/>
    </row>
    <row r="1928" spans="1:12" ht="28.8" x14ac:dyDescent="0.55000000000000004">
      <c r="A1928" s="9" t="str">
        <f>HYPERLINK("PDF\FOIA-FWS-2020-00724-0001927.pdf","FOIA-FWS-2020-00724-0001927")</f>
        <v>FOIA-FWS-2020-00724-0001927</v>
      </c>
      <c r="B1928" s="3" t="s">
        <v>3467</v>
      </c>
      <c r="C1928" s="3" t="s">
        <v>234</v>
      </c>
      <c r="D1928" s="3" t="s">
        <v>33</v>
      </c>
      <c r="E1928" s="3" t="s">
        <v>3470</v>
      </c>
      <c r="F1928" s="4">
        <v>43636.775000000001</v>
      </c>
      <c r="G1928" s="3"/>
      <c r="H1928" s="3"/>
      <c r="I1928" s="3" t="s">
        <v>7043</v>
      </c>
      <c r="J1928" s="3"/>
      <c r="K1928" s="3"/>
      <c r="L1928" s="5"/>
    </row>
    <row r="1929" spans="1:12" ht="158.4" x14ac:dyDescent="0.55000000000000004">
      <c r="A1929" s="9" t="str">
        <f>HYPERLINK("PDF\FOIA-FWS-2020-00724-0001928.pdf","FOIA-FWS-2020-00724-0001928")</f>
        <v>FOIA-FWS-2020-00724-0001928</v>
      </c>
      <c r="B1929" s="3" t="s">
        <v>3471</v>
      </c>
      <c r="C1929" s="3" t="s">
        <v>3</v>
      </c>
      <c r="D1929" s="3" t="s">
        <v>33</v>
      </c>
      <c r="E1929" s="3" t="s">
        <v>3474</v>
      </c>
      <c r="F1929" s="4">
        <v>43637.783333333333</v>
      </c>
      <c r="G1929" s="3" t="s">
        <v>3472</v>
      </c>
      <c r="H1929" s="3" t="s">
        <v>3473</v>
      </c>
      <c r="I1929" s="3" t="s">
        <v>7043</v>
      </c>
      <c r="J1929" s="3"/>
      <c r="K1929" s="3"/>
      <c r="L1929" s="5"/>
    </row>
    <row r="1930" spans="1:12" ht="28.8" x14ac:dyDescent="0.55000000000000004">
      <c r="A1930" s="9" t="str">
        <f>HYPERLINK("PDF\FOIA-FWS-2020-00724-0001929.pdf","FOIA-FWS-2020-00724-0001929")</f>
        <v>FOIA-FWS-2020-00724-0001929</v>
      </c>
      <c r="B1930" s="3" t="s">
        <v>3475</v>
      </c>
      <c r="C1930" s="3" t="s">
        <v>3</v>
      </c>
      <c r="D1930" s="3" t="s">
        <v>33</v>
      </c>
      <c r="E1930" s="3" t="s">
        <v>3477</v>
      </c>
      <c r="F1930" s="4">
        <v>43640.587500000001</v>
      </c>
      <c r="G1930" s="3" t="s">
        <v>3476</v>
      </c>
      <c r="H1930" s="3" t="s">
        <v>1963</v>
      </c>
      <c r="I1930" s="3" t="s">
        <v>7043</v>
      </c>
      <c r="J1930" s="3"/>
      <c r="K1930" s="3"/>
      <c r="L1930" s="5"/>
    </row>
    <row r="1931" spans="1:12" ht="28.8" x14ac:dyDescent="0.55000000000000004">
      <c r="A1931" s="9" t="str">
        <f>HYPERLINK("PDF\FOIA-FWS-2020-00724-0001930.pdf","FOIA-FWS-2020-00724-0001930")</f>
        <v>FOIA-FWS-2020-00724-0001930</v>
      </c>
      <c r="B1931" s="3" t="s">
        <v>3478</v>
      </c>
      <c r="C1931" s="3" t="s">
        <v>3</v>
      </c>
      <c r="D1931" s="3" t="s">
        <v>33</v>
      </c>
      <c r="E1931" s="3" t="s">
        <v>3477</v>
      </c>
      <c r="F1931" s="4">
        <v>43640.593055555553</v>
      </c>
      <c r="G1931" s="3" t="s">
        <v>3479</v>
      </c>
      <c r="H1931" s="3" t="s">
        <v>3480</v>
      </c>
      <c r="I1931" s="3" t="s">
        <v>7043</v>
      </c>
      <c r="J1931" s="3"/>
      <c r="K1931" s="3"/>
      <c r="L1931" s="5"/>
    </row>
    <row r="1932" spans="1:12" ht="28.8" x14ac:dyDescent="0.55000000000000004">
      <c r="A1932" s="9" t="str">
        <f>HYPERLINK("PDF\FOIA-FWS-2020-00724-0001931.pdf","FOIA-FWS-2020-00724-0001931")</f>
        <v>FOIA-FWS-2020-00724-0001931</v>
      </c>
      <c r="B1932" s="3" t="s">
        <v>3478</v>
      </c>
      <c r="C1932" s="3" t="s">
        <v>234</v>
      </c>
      <c r="D1932" s="3" t="s">
        <v>33</v>
      </c>
      <c r="E1932" s="3" t="s">
        <v>3454</v>
      </c>
      <c r="F1932" s="4">
        <v>43640.593055555553</v>
      </c>
      <c r="G1932" s="3"/>
      <c r="H1932" s="3"/>
      <c r="I1932" s="3" t="s">
        <v>7043</v>
      </c>
      <c r="J1932" s="3"/>
      <c r="K1932" s="3"/>
      <c r="L1932" s="5"/>
    </row>
    <row r="1933" spans="1:12" ht="28.8" x14ac:dyDescent="0.55000000000000004">
      <c r="A1933" s="9" t="str">
        <f>HYPERLINK("PDF\FOIA-FWS-2020-00724-0001932.pdf","FOIA-FWS-2020-00724-0001932")</f>
        <v>FOIA-FWS-2020-00724-0001932</v>
      </c>
      <c r="B1933" s="3" t="s">
        <v>3481</v>
      </c>
      <c r="C1933" s="3" t="s">
        <v>3</v>
      </c>
      <c r="D1933" s="3" t="s">
        <v>33</v>
      </c>
      <c r="E1933" s="3" t="s">
        <v>3482</v>
      </c>
      <c r="F1933" s="4">
        <v>43640.626388888886</v>
      </c>
      <c r="G1933" s="3" t="s">
        <v>955</v>
      </c>
      <c r="H1933" s="3" t="s">
        <v>945</v>
      </c>
      <c r="I1933" s="3" t="s">
        <v>7043</v>
      </c>
      <c r="J1933" s="3"/>
      <c r="K1933" s="3"/>
      <c r="L1933" s="5"/>
    </row>
    <row r="1934" spans="1:12" ht="28.8" x14ac:dyDescent="0.55000000000000004">
      <c r="A1934" s="9" t="str">
        <f>HYPERLINK("PDF\FOIA-FWS-2020-00724-0001933.pdf","FOIA-FWS-2020-00724-0001933")</f>
        <v>FOIA-FWS-2020-00724-0001933</v>
      </c>
      <c r="B1934" s="3" t="s">
        <v>3483</v>
      </c>
      <c r="C1934" s="3" t="s">
        <v>3</v>
      </c>
      <c r="D1934" s="3" t="s">
        <v>33</v>
      </c>
      <c r="E1934" s="3" t="s">
        <v>3482</v>
      </c>
      <c r="F1934" s="4">
        <v>43641.448611111111</v>
      </c>
      <c r="G1934" s="3" t="s">
        <v>945</v>
      </c>
      <c r="H1934" s="3" t="s">
        <v>861</v>
      </c>
      <c r="I1934" s="3" t="s">
        <v>7043</v>
      </c>
      <c r="J1934" s="3"/>
      <c r="K1934" s="3"/>
      <c r="L1934" s="5"/>
    </row>
    <row r="1935" spans="1:12" ht="28.8" x14ac:dyDescent="0.55000000000000004">
      <c r="A1935" s="9" t="str">
        <f>HYPERLINK("PDF\FOIA-FWS-2020-00724-0001934.pdf","FOIA-FWS-2020-00724-0001934")</f>
        <v>FOIA-FWS-2020-00724-0001934</v>
      </c>
      <c r="B1935" s="3" t="s">
        <v>3483</v>
      </c>
      <c r="C1935" s="3" t="s">
        <v>234</v>
      </c>
      <c r="D1935" s="3" t="s">
        <v>33</v>
      </c>
      <c r="E1935" s="3" t="s">
        <v>3484</v>
      </c>
      <c r="F1935" s="4">
        <v>43641.448611111111</v>
      </c>
      <c r="G1935" s="3"/>
      <c r="H1935" s="3"/>
      <c r="I1935" s="3" t="s">
        <v>7043</v>
      </c>
      <c r="J1935" s="3"/>
      <c r="K1935" s="3"/>
      <c r="L1935" s="5"/>
    </row>
    <row r="1936" spans="1:12" ht="28.8" x14ac:dyDescent="0.55000000000000004">
      <c r="A1936" s="9" t="str">
        <f>HYPERLINK("PDF\FOIA-FWS-2020-00724-0001935.pdf","FOIA-FWS-2020-00724-0001935")</f>
        <v>FOIA-FWS-2020-00724-0001935</v>
      </c>
      <c r="B1936" s="3" t="s">
        <v>3485</v>
      </c>
      <c r="C1936" s="3" t="s">
        <v>3</v>
      </c>
      <c r="D1936" s="3" t="s">
        <v>33</v>
      </c>
      <c r="E1936" s="3" t="s">
        <v>3482</v>
      </c>
      <c r="F1936" s="4">
        <v>43641.55</v>
      </c>
      <c r="G1936" s="3" t="s">
        <v>3476</v>
      </c>
      <c r="H1936" s="3" t="s">
        <v>1963</v>
      </c>
      <c r="I1936" s="3" t="s">
        <v>7043</v>
      </c>
      <c r="J1936" s="3"/>
      <c r="K1936" s="3"/>
      <c r="L1936" s="5"/>
    </row>
    <row r="1937" spans="1:12" ht="28.8" x14ac:dyDescent="0.55000000000000004">
      <c r="A1937" s="9" t="str">
        <f>HYPERLINK("PDF\FOIA-FWS-2020-00724-0001936.pdf","FOIA-FWS-2020-00724-0001936")</f>
        <v>FOIA-FWS-2020-00724-0001936</v>
      </c>
      <c r="B1937" s="3" t="s">
        <v>3486</v>
      </c>
      <c r="C1937" s="3" t="s">
        <v>3</v>
      </c>
      <c r="D1937" s="3" t="s">
        <v>33</v>
      </c>
      <c r="E1937" s="3" t="s">
        <v>3488</v>
      </c>
      <c r="F1937" s="4">
        <v>43642.806250000001</v>
      </c>
      <c r="G1937" s="3" t="s">
        <v>872</v>
      </c>
      <c r="H1937" s="3" t="s">
        <v>3487</v>
      </c>
      <c r="I1937" s="3" t="s">
        <v>7043</v>
      </c>
      <c r="J1937" s="3"/>
      <c r="K1937" s="3"/>
      <c r="L1937" s="5"/>
    </row>
    <row r="1938" spans="1:12" ht="28.8" x14ac:dyDescent="0.55000000000000004">
      <c r="A1938" s="9" t="str">
        <f>HYPERLINK("PDF\FOIA-FWS-2020-00724-0001937.pdf","FOIA-FWS-2020-00724-0001937")</f>
        <v>FOIA-FWS-2020-00724-0001937</v>
      </c>
      <c r="B1938" s="3" t="s">
        <v>3486</v>
      </c>
      <c r="C1938" s="3" t="s">
        <v>234</v>
      </c>
      <c r="D1938" s="3" t="s">
        <v>33</v>
      </c>
      <c r="E1938" s="3" t="s">
        <v>3489</v>
      </c>
      <c r="F1938" s="4">
        <v>43642.806250000001</v>
      </c>
      <c r="G1938" s="3"/>
      <c r="H1938" s="3"/>
      <c r="I1938" s="3" t="s">
        <v>7043</v>
      </c>
      <c r="J1938" s="3"/>
      <c r="K1938" s="3"/>
      <c r="L1938" s="5"/>
    </row>
    <row r="1939" spans="1:12" ht="28.8" x14ac:dyDescent="0.55000000000000004">
      <c r="A1939" s="9" t="str">
        <f>HYPERLINK("PDF\FOIA-FWS-2020-00724-0001938.pdf","FOIA-FWS-2020-00724-0001938")</f>
        <v>FOIA-FWS-2020-00724-0001938</v>
      </c>
      <c r="B1939" s="3" t="s">
        <v>3490</v>
      </c>
      <c r="C1939" s="3" t="s">
        <v>3</v>
      </c>
      <c r="D1939" s="3" t="s">
        <v>33</v>
      </c>
      <c r="E1939" s="3" t="s">
        <v>3491</v>
      </c>
      <c r="F1939" s="4">
        <v>43642.814583333333</v>
      </c>
      <c r="G1939" s="3" t="s">
        <v>861</v>
      </c>
      <c r="H1939" s="3" t="s">
        <v>1631</v>
      </c>
      <c r="I1939" s="3" t="s">
        <v>7043</v>
      </c>
      <c r="J1939" s="3"/>
      <c r="K1939" s="3"/>
      <c r="L1939" s="5"/>
    </row>
    <row r="1940" spans="1:12" ht="28.8" x14ac:dyDescent="0.55000000000000004">
      <c r="A1940" s="9" t="str">
        <f>HYPERLINK("PDF\FOIA-FWS-2020-00724-0001939.pdf","FOIA-FWS-2020-00724-0001939")</f>
        <v>FOIA-FWS-2020-00724-0001939</v>
      </c>
      <c r="B1940" s="3" t="s">
        <v>3490</v>
      </c>
      <c r="C1940" s="3" t="s">
        <v>234</v>
      </c>
      <c r="D1940" s="3" t="s">
        <v>33</v>
      </c>
      <c r="E1940" s="3" t="s">
        <v>3489</v>
      </c>
      <c r="F1940" s="4">
        <v>43642.814583333333</v>
      </c>
      <c r="G1940" s="3"/>
      <c r="H1940" s="3"/>
      <c r="I1940" s="3" t="s">
        <v>7043</v>
      </c>
      <c r="J1940" s="3"/>
      <c r="K1940" s="3"/>
      <c r="L1940" s="5"/>
    </row>
    <row r="1941" spans="1:12" ht="28.8" x14ac:dyDescent="0.55000000000000004">
      <c r="A1941" s="9" t="str">
        <f>HYPERLINK("PDF\FOIA-FWS-2020-00724-0001940.pdf","FOIA-FWS-2020-00724-0001940")</f>
        <v>FOIA-FWS-2020-00724-0001940</v>
      </c>
      <c r="B1941" s="3" t="s">
        <v>3492</v>
      </c>
      <c r="C1941" s="3" t="s">
        <v>3</v>
      </c>
      <c r="D1941" s="3" t="s">
        <v>33</v>
      </c>
      <c r="E1941" s="3" t="s">
        <v>3493</v>
      </c>
      <c r="F1941" s="4">
        <v>43642.819444444445</v>
      </c>
      <c r="G1941" s="3" t="s">
        <v>872</v>
      </c>
      <c r="H1941" s="3" t="s">
        <v>1034</v>
      </c>
      <c r="I1941" s="3" t="s">
        <v>7043</v>
      </c>
      <c r="J1941" s="3"/>
      <c r="K1941" s="3"/>
      <c r="L1941" s="5"/>
    </row>
    <row r="1942" spans="1:12" ht="28.8" x14ac:dyDescent="0.55000000000000004">
      <c r="A1942" s="9" t="str">
        <f>HYPERLINK("PDF\FOIA-FWS-2020-00724-0001941.pdf","FOIA-FWS-2020-00724-0001941")</f>
        <v>FOIA-FWS-2020-00724-0001941</v>
      </c>
      <c r="B1942" s="3" t="s">
        <v>3492</v>
      </c>
      <c r="C1942" s="3" t="s">
        <v>234</v>
      </c>
      <c r="D1942" s="3" t="s">
        <v>33</v>
      </c>
      <c r="E1942" s="3" t="s">
        <v>3489</v>
      </c>
      <c r="F1942" s="4">
        <v>43642.819444444445</v>
      </c>
      <c r="G1942" s="3"/>
      <c r="H1942" s="3"/>
      <c r="I1942" s="3" t="s">
        <v>7043</v>
      </c>
      <c r="J1942" s="3"/>
      <c r="K1942" s="3"/>
      <c r="L1942" s="5"/>
    </row>
    <row r="1943" spans="1:12" ht="57.6" x14ac:dyDescent="0.55000000000000004">
      <c r="A1943" s="9" t="str">
        <f>HYPERLINK("PDF\FOIA-FWS-2020-00724-0001942.pdf","FOIA-FWS-2020-00724-0001942")</f>
        <v>FOIA-FWS-2020-00724-0001942</v>
      </c>
      <c r="B1943" s="3" t="s">
        <v>3494</v>
      </c>
      <c r="C1943" s="3" t="s">
        <v>3</v>
      </c>
      <c r="D1943" s="3" t="s">
        <v>33</v>
      </c>
      <c r="E1943" s="3" t="s">
        <v>3496</v>
      </c>
      <c r="F1943" s="4">
        <v>43643.408333333333</v>
      </c>
      <c r="G1943" s="3" t="s">
        <v>1060</v>
      </c>
      <c r="H1943" s="3" t="s">
        <v>3495</v>
      </c>
      <c r="I1943" s="3" t="s">
        <v>864</v>
      </c>
      <c r="J1943" s="3" t="s">
        <v>7046</v>
      </c>
      <c r="K1943" s="3" t="s">
        <v>7036</v>
      </c>
      <c r="L1943" s="5"/>
    </row>
    <row r="1944" spans="1:12" ht="86.4" x14ac:dyDescent="0.55000000000000004">
      <c r="A1944" s="9" t="str">
        <f>HYPERLINK("PDF\FOIA-FWS-2020-00724-0001943.pdf","FOIA-FWS-2020-00724-0001943")</f>
        <v>FOIA-FWS-2020-00724-0001943</v>
      </c>
      <c r="B1944" s="3" t="s">
        <v>3494</v>
      </c>
      <c r="C1944" s="3" t="s">
        <v>234</v>
      </c>
      <c r="D1944" s="3" t="s">
        <v>33</v>
      </c>
      <c r="E1944" s="3" t="s">
        <v>867</v>
      </c>
      <c r="F1944" s="4">
        <v>43643.408333333333</v>
      </c>
      <c r="G1944" s="3" t="s">
        <v>3497</v>
      </c>
      <c r="H1944" s="3" t="s">
        <v>3498</v>
      </c>
      <c r="I1944" s="3" t="s">
        <v>864</v>
      </c>
      <c r="J1944" s="3" t="s">
        <v>7046</v>
      </c>
      <c r="K1944" s="3" t="s">
        <v>7036</v>
      </c>
      <c r="L1944" s="5"/>
    </row>
    <row r="1945" spans="1:12" ht="28.8" x14ac:dyDescent="0.55000000000000004">
      <c r="A1945" s="9" t="str">
        <f>HYPERLINK("PDF\FOIA-FWS-2020-00724-0001944.pdf","FOIA-FWS-2020-00724-0001944")</f>
        <v>FOIA-FWS-2020-00724-0001944</v>
      </c>
      <c r="B1945" s="3" t="s">
        <v>3499</v>
      </c>
      <c r="C1945" s="3" t="s">
        <v>3</v>
      </c>
      <c r="D1945" s="3" t="s">
        <v>33</v>
      </c>
      <c r="E1945" s="3" t="s">
        <v>3500</v>
      </c>
      <c r="F1945" s="4">
        <v>43643.538194444445</v>
      </c>
      <c r="G1945" s="3" t="s">
        <v>955</v>
      </c>
      <c r="H1945" s="3" t="s">
        <v>945</v>
      </c>
      <c r="I1945" s="3" t="s">
        <v>7043</v>
      </c>
      <c r="J1945" s="3"/>
      <c r="K1945" s="3"/>
      <c r="L1945" s="5"/>
    </row>
    <row r="1946" spans="1:12" ht="28.8" x14ac:dyDescent="0.55000000000000004">
      <c r="A1946" s="9" t="str">
        <f>HYPERLINK("PDF\FOIA-FWS-2020-00724-0001945.pdf","FOIA-FWS-2020-00724-0001945")</f>
        <v>FOIA-FWS-2020-00724-0001945</v>
      </c>
      <c r="B1946" s="3" t="s">
        <v>3501</v>
      </c>
      <c r="C1946" s="3" t="s">
        <v>3</v>
      </c>
      <c r="D1946" s="3" t="s">
        <v>33</v>
      </c>
      <c r="E1946" s="3" t="s">
        <v>3482</v>
      </c>
      <c r="F1946" s="4">
        <v>43643.552083333336</v>
      </c>
      <c r="G1946" s="3" t="s">
        <v>955</v>
      </c>
      <c r="H1946" s="3" t="s">
        <v>872</v>
      </c>
      <c r="I1946" s="3" t="s">
        <v>7043</v>
      </c>
      <c r="J1946" s="3"/>
      <c r="K1946" s="3"/>
      <c r="L1946" s="5"/>
    </row>
    <row r="1947" spans="1:12" ht="28.8" x14ac:dyDescent="0.55000000000000004">
      <c r="A1947" s="9" t="str">
        <f>HYPERLINK("PDF\FOIA-FWS-2020-00724-0001946.pdf","FOIA-FWS-2020-00724-0001946")</f>
        <v>FOIA-FWS-2020-00724-0001946</v>
      </c>
      <c r="B1947" s="3" t="s">
        <v>3501</v>
      </c>
      <c r="C1947" s="3" t="s">
        <v>234</v>
      </c>
      <c r="D1947" s="3" t="s">
        <v>33</v>
      </c>
      <c r="E1947" s="3" t="s">
        <v>3502</v>
      </c>
      <c r="F1947" s="4">
        <v>43643.552083333336</v>
      </c>
      <c r="G1947" s="3"/>
      <c r="H1947" s="3"/>
      <c r="I1947" s="3" t="s">
        <v>7043</v>
      </c>
      <c r="J1947" s="3"/>
      <c r="K1947" s="3"/>
      <c r="L1947" s="5"/>
    </row>
    <row r="1948" spans="1:12" ht="28.8" x14ac:dyDescent="0.55000000000000004">
      <c r="A1948" s="9" t="str">
        <f>HYPERLINK("PDF\FOIA-FWS-2020-00724-0001947.pdf","FOIA-FWS-2020-00724-0001947")</f>
        <v>FOIA-FWS-2020-00724-0001947</v>
      </c>
      <c r="B1948" s="3" t="s">
        <v>3503</v>
      </c>
      <c r="C1948" s="3" t="s">
        <v>3</v>
      </c>
      <c r="D1948" s="3" t="s">
        <v>33</v>
      </c>
      <c r="E1948" s="3" t="s">
        <v>3504</v>
      </c>
      <c r="F1948" s="4">
        <v>43647.761805555558</v>
      </c>
      <c r="G1948" s="3" t="s">
        <v>955</v>
      </c>
      <c r="H1948" s="3" t="s">
        <v>861</v>
      </c>
      <c r="I1948" s="3" t="s">
        <v>7043</v>
      </c>
      <c r="J1948" s="3"/>
      <c r="K1948" s="3"/>
      <c r="L1948" s="5"/>
    </row>
    <row r="1949" spans="1:12" ht="28.8" x14ac:dyDescent="0.55000000000000004">
      <c r="A1949" s="9" t="str">
        <f>HYPERLINK("PDF\FOIA-FWS-2020-00724-0001948.pdf","FOIA-FWS-2020-00724-0001948")</f>
        <v>FOIA-FWS-2020-00724-0001948</v>
      </c>
      <c r="B1949" s="3" t="s">
        <v>3505</v>
      </c>
      <c r="C1949" s="3" t="s">
        <v>3</v>
      </c>
      <c r="D1949" s="3" t="s">
        <v>33</v>
      </c>
      <c r="E1949" s="3" t="s">
        <v>3504</v>
      </c>
      <c r="F1949" s="4">
        <v>43647.763888888891</v>
      </c>
      <c r="G1949" s="3" t="s">
        <v>955</v>
      </c>
      <c r="H1949" s="3" t="s">
        <v>861</v>
      </c>
      <c r="I1949" s="3" t="s">
        <v>7043</v>
      </c>
      <c r="J1949" s="3"/>
      <c r="K1949" s="3"/>
      <c r="L1949" s="5"/>
    </row>
    <row r="1950" spans="1:12" ht="28.8" x14ac:dyDescent="0.55000000000000004">
      <c r="A1950" s="9" t="str">
        <f>HYPERLINK("PDF\FOIA-FWS-2020-00724-0001949.pdf","FOIA-FWS-2020-00724-0001949")</f>
        <v>FOIA-FWS-2020-00724-0001949</v>
      </c>
      <c r="B1950" s="3" t="s">
        <v>3506</v>
      </c>
      <c r="C1950" s="3" t="s">
        <v>3</v>
      </c>
      <c r="D1950" s="3" t="s">
        <v>33</v>
      </c>
      <c r="E1950" s="3" t="s">
        <v>3507</v>
      </c>
      <c r="F1950" s="4">
        <v>43648.542361111111</v>
      </c>
      <c r="G1950" s="3" t="s">
        <v>955</v>
      </c>
      <c r="H1950" s="3" t="s">
        <v>945</v>
      </c>
      <c r="I1950" s="3" t="s">
        <v>7043</v>
      </c>
      <c r="J1950" s="3"/>
      <c r="K1950" s="3"/>
      <c r="L1950" s="5"/>
    </row>
    <row r="1951" spans="1:12" ht="28.8" x14ac:dyDescent="0.55000000000000004">
      <c r="A1951" s="9" t="str">
        <f>HYPERLINK("PDF\FOIA-FWS-2020-00724-0001950.pdf","FOIA-FWS-2020-00724-0001950")</f>
        <v>FOIA-FWS-2020-00724-0001950</v>
      </c>
      <c r="B1951" s="3" t="s">
        <v>3506</v>
      </c>
      <c r="C1951" s="3" t="s">
        <v>234</v>
      </c>
      <c r="D1951" s="3" t="s">
        <v>33</v>
      </c>
      <c r="E1951" s="3" t="s">
        <v>3508</v>
      </c>
      <c r="F1951" s="4">
        <v>43648.542361111111</v>
      </c>
      <c r="G1951" s="3"/>
      <c r="H1951" s="3"/>
      <c r="I1951" s="3" t="s">
        <v>7043</v>
      </c>
      <c r="J1951" s="3"/>
      <c r="K1951" s="3"/>
      <c r="L1951" s="5"/>
    </row>
    <row r="1952" spans="1:12" ht="28.8" x14ac:dyDescent="0.55000000000000004">
      <c r="A1952" s="9" t="str">
        <f>HYPERLINK("PDF\FOIA-FWS-2020-00724-0001951.pdf","FOIA-FWS-2020-00724-0001951")</f>
        <v>FOIA-FWS-2020-00724-0001951</v>
      </c>
      <c r="B1952" s="3" t="s">
        <v>3509</v>
      </c>
      <c r="C1952" s="3" t="s">
        <v>3</v>
      </c>
      <c r="D1952" s="3" t="s">
        <v>51</v>
      </c>
      <c r="E1952" s="3" t="s">
        <v>3510</v>
      </c>
      <c r="F1952" s="4">
        <v>43649</v>
      </c>
      <c r="G1952" s="3"/>
      <c r="H1952" s="3"/>
      <c r="I1952" s="3" t="s">
        <v>7043</v>
      </c>
      <c r="J1952" s="3"/>
      <c r="K1952" s="3"/>
      <c r="L1952" s="5"/>
    </row>
    <row r="1953" spans="1:12" ht="28.8" x14ac:dyDescent="0.55000000000000004">
      <c r="A1953" s="9" t="str">
        <f>HYPERLINK("PDF\FOIA-FWS-2020-00724-0001952.pdf","FOIA-FWS-2020-00724-0001952")</f>
        <v>FOIA-FWS-2020-00724-0001952</v>
      </c>
      <c r="B1953" s="3" t="s">
        <v>3511</v>
      </c>
      <c r="C1953" s="3" t="s">
        <v>3</v>
      </c>
      <c r="D1953" s="3" t="s">
        <v>4</v>
      </c>
      <c r="E1953" s="3" t="s">
        <v>3512</v>
      </c>
      <c r="F1953" s="4">
        <v>43650</v>
      </c>
      <c r="G1953" s="3"/>
      <c r="H1953" s="3"/>
      <c r="I1953" s="3" t="s">
        <v>7043</v>
      </c>
      <c r="J1953" s="3"/>
      <c r="K1953" s="3"/>
      <c r="L1953" s="5"/>
    </row>
    <row r="1954" spans="1:12" ht="43.2" x14ac:dyDescent="0.55000000000000004">
      <c r="A1954" s="9" t="str">
        <f>HYPERLINK("PDF\FOIA-FWS-2020-00724-0001953.pdf","FOIA-FWS-2020-00724-0001953")</f>
        <v>FOIA-FWS-2020-00724-0001953</v>
      </c>
      <c r="B1954" s="3" t="s">
        <v>3513</v>
      </c>
      <c r="C1954" s="3" t="s">
        <v>3</v>
      </c>
      <c r="D1954" s="3" t="s">
        <v>33</v>
      </c>
      <c r="E1954" s="3" t="s">
        <v>3419</v>
      </c>
      <c r="F1954" s="4">
        <v>43651.674305555556</v>
      </c>
      <c r="G1954" s="3" t="s">
        <v>945</v>
      </c>
      <c r="H1954" s="3" t="s">
        <v>3514</v>
      </c>
      <c r="I1954" s="3" t="s">
        <v>7043</v>
      </c>
      <c r="J1954" s="3"/>
      <c r="K1954" s="3"/>
      <c r="L1954" s="5"/>
    </row>
    <row r="1955" spans="1:12" ht="28.8" x14ac:dyDescent="0.55000000000000004">
      <c r="A1955" s="9" t="str">
        <f>HYPERLINK("PDF\FOIA-FWS-2020-00724-0001954.pdf","FOIA-FWS-2020-00724-0001954")</f>
        <v>FOIA-FWS-2020-00724-0001954</v>
      </c>
      <c r="B1955" s="3" t="s">
        <v>3513</v>
      </c>
      <c r="C1955" s="3" t="s">
        <v>234</v>
      </c>
      <c r="D1955" s="3" t="s">
        <v>33</v>
      </c>
      <c r="E1955" s="3" t="s">
        <v>3515</v>
      </c>
      <c r="F1955" s="4">
        <v>43651.674305555556</v>
      </c>
      <c r="G1955" s="3"/>
      <c r="H1955" s="3"/>
      <c r="I1955" s="3" t="s">
        <v>7043</v>
      </c>
      <c r="J1955" s="3"/>
      <c r="K1955" s="3"/>
      <c r="L1955" s="5"/>
    </row>
    <row r="1956" spans="1:12" ht="28.8" x14ac:dyDescent="0.55000000000000004">
      <c r="A1956" s="9" t="str">
        <f>HYPERLINK("PDF\FOIA-FWS-2020-00724-0001955.pdf","FOIA-FWS-2020-00724-0001955")</f>
        <v>FOIA-FWS-2020-00724-0001955</v>
      </c>
      <c r="B1956" s="3" t="s">
        <v>3516</v>
      </c>
      <c r="C1956" s="3" t="s">
        <v>3</v>
      </c>
      <c r="D1956" s="3" t="s">
        <v>4</v>
      </c>
      <c r="E1956" s="3" t="s">
        <v>3517</v>
      </c>
      <c r="F1956" s="4">
        <v>43653</v>
      </c>
      <c r="G1956" s="3"/>
      <c r="H1956" s="3"/>
      <c r="I1956" s="3" t="s">
        <v>7043</v>
      </c>
      <c r="J1956" s="3"/>
      <c r="K1956" s="3"/>
      <c r="L1956" s="5"/>
    </row>
    <row r="1957" spans="1:12" ht="28.8" x14ac:dyDescent="0.55000000000000004">
      <c r="A1957" s="9" t="str">
        <f>HYPERLINK("PDF\FOIA-FWS-2020-00724-0001956.pdf","FOIA-FWS-2020-00724-0001956")</f>
        <v>FOIA-FWS-2020-00724-0001956</v>
      </c>
      <c r="B1957" s="3" t="s">
        <v>3518</v>
      </c>
      <c r="C1957" s="3" t="s">
        <v>3</v>
      </c>
      <c r="D1957" s="3" t="s">
        <v>33</v>
      </c>
      <c r="E1957" s="3" t="s">
        <v>3419</v>
      </c>
      <c r="F1957" s="4">
        <v>43654.783333333333</v>
      </c>
      <c r="G1957" s="3" t="s">
        <v>1631</v>
      </c>
      <c r="H1957" s="3" t="s">
        <v>945</v>
      </c>
      <c r="I1957" s="3" t="s">
        <v>7043</v>
      </c>
      <c r="J1957" s="3"/>
      <c r="K1957" s="3"/>
      <c r="L1957" s="5"/>
    </row>
    <row r="1958" spans="1:12" ht="28.8" x14ac:dyDescent="0.55000000000000004">
      <c r="A1958" s="9" t="str">
        <f>HYPERLINK("PDF\FOIA-FWS-2020-00724-0001957.pdf","FOIA-FWS-2020-00724-0001957")</f>
        <v>FOIA-FWS-2020-00724-0001957</v>
      </c>
      <c r="B1958" s="3" t="s">
        <v>3519</v>
      </c>
      <c r="C1958" s="3" t="s">
        <v>3</v>
      </c>
      <c r="D1958" s="3" t="s">
        <v>33</v>
      </c>
      <c r="E1958" s="3" t="s">
        <v>3419</v>
      </c>
      <c r="F1958" s="4">
        <v>43655.448611111111</v>
      </c>
      <c r="G1958" s="3" t="s">
        <v>963</v>
      </c>
      <c r="H1958" s="3" t="s">
        <v>919</v>
      </c>
      <c r="I1958" s="3" t="s">
        <v>7043</v>
      </c>
      <c r="J1958" s="3"/>
      <c r="K1958" s="3"/>
      <c r="L1958" s="5"/>
    </row>
    <row r="1959" spans="1:12" ht="57.6" x14ac:dyDescent="0.55000000000000004">
      <c r="A1959" s="9" t="str">
        <f>HYPERLINK("PDF\FOIA-FWS-2020-00724-0001958.pdf","FOIA-FWS-2020-00724-0001958")</f>
        <v>FOIA-FWS-2020-00724-0001958</v>
      </c>
      <c r="B1959" s="3" t="s">
        <v>3520</v>
      </c>
      <c r="C1959" s="3" t="s">
        <v>3</v>
      </c>
      <c r="D1959" s="3" t="s">
        <v>33</v>
      </c>
      <c r="E1959" s="3" t="s">
        <v>3521</v>
      </c>
      <c r="F1959" s="4">
        <v>43655.538888888892</v>
      </c>
      <c r="G1959" s="3" t="s">
        <v>1060</v>
      </c>
      <c r="H1959" s="3" t="s">
        <v>945</v>
      </c>
      <c r="I1959" s="3" t="s">
        <v>7043</v>
      </c>
      <c r="J1959" s="3"/>
      <c r="K1959" s="3"/>
      <c r="L1959" s="5"/>
    </row>
    <row r="1960" spans="1:12" ht="28.8" x14ac:dyDescent="0.55000000000000004">
      <c r="A1960" s="9" t="str">
        <f>HYPERLINK("PDF\FOIA-FWS-2020-00724-0001959.pdf","FOIA-FWS-2020-00724-0001959")</f>
        <v>FOIA-FWS-2020-00724-0001959</v>
      </c>
      <c r="B1960" s="3" t="s">
        <v>3522</v>
      </c>
      <c r="C1960" s="3" t="s">
        <v>3</v>
      </c>
      <c r="D1960" s="3" t="s">
        <v>33</v>
      </c>
      <c r="E1960" s="3" t="s">
        <v>3523</v>
      </c>
      <c r="F1960" s="4">
        <v>43655.571527777778</v>
      </c>
      <c r="G1960" s="3" t="s">
        <v>945</v>
      </c>
      <c r="H1960" s="3" t="s">
        <v>955</v>
      </c>
      <c r="I1960" s="3" t="s">
        <v>7043</v>
      </c>
      <c r="J1960" s="3"/>
      <c r="K1960" s="3"/>
      <c r="L1960" s="5"/>
    </row>
    <row r="1961" spans="1:12" ht="28.8" x14ac:dyDescent="0.55000000000000004">
      <c r="A1961" s="9" t="str">
        <f>HYPERLINK("PDF\FOIA-FWS-2020-00724-0001960.pdf","FOIA-FWS-2020-00724-0001960")</f>
        <v>FOIA-FWS-2020-00724-0001960</v>
      </c>
      <c r="B1961" s="3" t="s">
        <v>3524</v>
      </c>
      <c r="C1961" s="3" t="s">
        <v>3</v>
      </c>
      <c r="D1961" s="3" t="s">
        <v>33</v>
      </c>
      <c r="E1961" s="3" t="s">
        <v>3525</v>
      </c>
      <c r="F1961" s="4">
        <v>43655.625</v>
      </c>
      <c r="G1961" s="3" t="s">
        <v>955</v>
      </c>
      <c r="H1961" s="3" t="s">
        <v>1119</v>
      </c>
      <c r="I1961" s="3" t="s">
        <v>7043</v>
      </c>
      <c r="J1961" s="3"/>
      <c r="K1961" s="3"/>
      <c r="L1961" s="5"/>
    </row>
    <row r="1962" spans="1:12" ht="28.8" x14ac:dyDescent="0.55000000000000004">
      <c r="A1962" s="9" t="str">
        <f>HYPERLINK("PDF\FOIA-FWS-2020-00724-0001961.pdf","FOIA-FWS-2020-00724-0001961")</f>
        <v>FOIA-FWS-2020-00724-0001961</v>
      </c>
      <c r="B1962" s="3" t="s">
        <v>3524</v>
      </c>
      <c r="C1962" s="3" t="s">
        <v>234</v>
      </c>
      <c r="D1962" s="3" t="s">
        <v>33</v>
      </c>
      <c r="E1962" s="3" t="s">
        <v>3526</v>
      </c>
      <c r="F1962" s="4">
        <v>43655.625</v>
      </c>
      <c r="G1962" s="3"/>
      <c r="H1962" s="3"/>
      <c r="I1962" s="3" t="s">
        <v>7043</v>
      </c>
      <c r="J1962" s="3"/>
      <c r="K1962" s="3"/>
      <c r="L1962" s="5"/>
    </row>
    <row r="1963" spans="1:12" ht="28.8" x14ac:dyDescent="0.55000000000000004">
      <c r="A1963" s="9" t="str">
        <f>HYPERLINK("PDF\FOIA-FWS-2020-00724-0001962.pdf","FOIA-FWS-2020-00724-0001962")</f>
        <v>FOIA-FWS-2020-00724-0001962</v>
      </c>
      <c r="B1963" s="3" t="s">
        <v>3524</v>
      </c>
      <c r="C1963" s="3" t="s">
        <v>234</v>
      </c>
      <c r="D1963" s="3" t="s">
        <v>33</v>
      </c>
      <c r="E1963" s="3" t="s">
        <v>3527</v>
      </c>
      <c r="F1963" s="4">
        <v>43655.625</v>
      </c>
      <c r="G1963" s="3"/>
      <c r="H1963" s="3"/>
      <c r="I1963" s="3" t="s">
        <v>7043</v>
      </c>
      <c r="J1963" s="3"/>
      <c r="K1963" s="3"/>
      <c r="L1963" s="5"/>
    </row>
    <row r="1964" spans="1:12" ht="28.8" x14ac:dyDescent="0.55000000000000004">
      <c r="A1964" s="9" t="str">
        <f>HYPERLINK("PDF\FOIA-FWS-2020-00724-0001963.pdf","FOIA-FWS-2020-00724-0001963")</f>
        <v>FOIA-FWS-2020-00724-0001963</v>
      </c>
      <c r="B1964" s="3" t="s">
        <v>3528</v>
      </c>
      <c r="C1964" s="3" t="s">
        <v>3</v>
      </c>
      <c r="D1964" s="3" t="s">
        <v>33</v>
      </c>
      <c r="E1964" s="3" t="s">
        <v>3409</v>
      </c>
      <c r="F1964" s="4">
        <v>43655.775694444441</v>
      </c>
      <c r="G1964" s="3" t="s">
        <v>1119</v>
      </c>
      <c r="H1964" s="3" t="s">
        <v>861</v>
      </c>
      <c r="I1964" s="3" t="s">
        <v>7043</v>
      </c>
      <c r="J1964" s="3"/>
      <c r="K1964" s="3"/>
      <c r="L1964" s="5"/>
    </row>
    <row r="1965" spans="1:12" ht="28.8" x14ac:dyDescent="0.55000000000000004">
      <c r="A1965" s="9" t="str">
        <f>HYPERLINK("PDF\FOIA-FWS-2020-00724-0001964.pdf","FOIA-FWS-2020-00724-0001964")</f>
        <v>FOIA-FWS-2020-00724-0001964</v>
      </c>
      <c r="B1965" s="3" t="s">
        <v>3528</v>
      </c>
      <c r="C1965" s="3" t="s">
        <v>234</v>
      </c>
      <c r="D1965" s="3" t="s">
        <v>33</v>
      </c>
      <c r="E1965" s="3" t="s">
        <v>3526</v>
      </c>
      <c r="F1965" s="4">
        <v>43655.775694444441</v>
      </c>
      <c r="G1965" s="3"/>
      <c r="H1965" s="3"/>
      <c r="I1965" s="3" t="s">
        <v>7043</v>
      </c>
      <c r="J1965" s="3"/>
      <c r="K1965" s="3"/>
      <c r="L1965" s="5"/>
    </row>
    <row r="1966" spans="1:12" ht="28.8" x14ac:dyDescent="0.55000000000000004">
      <c r="A1966" s="9" t="str">
        <f>HYPERLINK("PDF\FOIA-FWS-2020-00724-0001965.pdf","FOIA-FWS-2020-00724-0001965")</f>
        <v>FOIA-FWS-2020-00724-0001965</v>
      </c>
      <c r="B1966" s="3" t="s">
        <v>3528</v>
      </c>
      <c r="C1966" s="3" t="s">
        <v>234</v>
      </c>
      <c r="D1966" s="3" t="s">
        <v>33</v>
      </c>
      <c r="E1966" s="3" t="s">
        <v>3529</v>
      </c>
      <c r="F1966" s="4">
        <v>43655.775694444441</v>
      </c>
      <c r="G1966" s="3"/>
      <c r="H1966" s="3"/>
      <c r="I1966" s="3" t="s">
        <v>7043</v>
      </c>
      <c r="J1966" s="3"/>
      <c r="K1966" s="3"/>
      <c r="L1966" s="5"/>
    </row>
    <row r="1967" spans="1:12" ht="28.8" x14ac:dyDescent="0.55000000000000004">
      <c r="A1967" s="9" t="str">
        <f>HYPERLINK("PDF\FOIA-FWS-2020-00724-0001966.pdf","FOIA-FWS-2020-00724-0001966")</f>
        <v>FOIA-FWS-2020-00724-0001966</v>
      </c>
      <c r="B1967" s="3" t="s">
        <v>3530</v>
      </c>
      <c r="C1967" s="3" t="s">
        <v>3</v>
      </c>
      <c r="D1967" s="3" t="s">
        <v>33</v>
      </c>
      <c r="E1967" s="3" t="s">
        <v>3419</v>
      </c>
      <c r="F1967" s="4">
        <v>43655.865972222222</v>
      </c>
      <c r="G1967" s="3" t="s">
        <v>861</v>
      </c>
      <c r="H1967" s="3" t="s">
        <v>1119</v>
      </c>
      <c r="I1967" s="3" t="s">
        <v>7043</v>
      </c>
      <c r="J1967" s="3"/>
      <c r="K1967" s="3"/>
      <c r="L1967" s="5"/>
    </row>
    <row r="1968" spans="1:12" ht="28.8" x14ac:dyDescent="0.55000000000000004">
      <c r="A1968" s="9" t="str">
        <f>HYPERLINK("PDF\FOIA-FWS-2020-00724-0001967.pdf","FOIA-FWS-2020-00724-0001967")</f>
        <v>FOIA-FWS-2020-00724-0001967</v>
      </c>
      <c r="B1968" s="3" t="s">
        <v>3531</v>
      </c>
      <c r="C1968" s="3" t="s">
        <v>3</v>
      </c>
      <c r="D1968" s="3" t="s">
        <v>33</v>
      </c>
      <c r="E1968" s="3" t="s">
        <v>3532</v>
      </c>
      <c r="F1968" s="4">
        <v>43656.494444444441</v>
      </c>
      <c r="G1968" s="3" t="s">
        <v>955</v>
      </c>
      <c r="H1968" s="3" t="s">
        <v>1135</v>
      </c>
      <c r="I1968" s="3" t="s">
        <v>7043</v>
      </c>
      <c r="J1968" s="3"/>
      <c r="K1968" s="3"/>
      <c r="L1968" s="5"/>
    </row>
    <row r="1969" spans="1:12" ht="28.8" x14ac:dyDescent="0.55000000000000004">
      <c r="A1969" s="9" t="str">
        <f>HYPERLINK("PDF\FOIA-FWS-2020-00724-0001968.pdf","FOIA-FWS-2020-00724-0001968")</f>
        <v>FOIA-FWS-2020-00724-0001968</v>
      </c>
      <c r="B1969" s="3" t="s">
        <v>3533</v>
      </c>
      <c r="C1969" s="3" t="s">
        <v>3</v>
      </c>
      <c r="D1969" s="3" t="s">
        <v>33</v>
      </c>
      <c r="E1969" s="3" t="s">
        <v>3535</v>
      </c>
      <c r="F1969" s="4">
        <v>43656.745138888888</v>
      </c>
      <c r="G1969" s="3" t="s">
        <v>872</v>
      </c>
      <c r="H1969" s="3" t="s">
        <v>3534</v>
      </c>
      <c r="I1969" s="3" t="s">
        <v>7043</v>
      </c>
      <c r="J1969" s="3"/>
      <c r="K1969" s="3"/>
      <c r="L1969" s="5"/>
    </row>
    <row r="1970" spans="1:12" ht="28.8" x14ac:dyDescent="0.55000000000000004">
      <c r="A1970" s="9" t="str">
        <f>HYPERLINK("PDF\FOIA-FWS-2020-00724-0001969.pdf","FOIA-FWS-2020-00724-0001969")</f>
        <v>FOIA-FWS-2020-00724-0001969</v>
      </c>
      <c r="B1970" s="3" t="s">
        <v>3536</v>
      </c>
      <c r="C1970" s="3" t="s">
        <v>3</v>
      </c>
      <c r="D1970" s="3" t="s">
        <v>33</v>
      </c>
      <c r="E1970" s="3" t="s">
        <v>3419</v>
      </c>
      <c r="F1970" s="4">
        <v>43656.756249999999</v>
      </c>
      <c r="G1970" s="3" t="s">
        <v>945</v>
      </c>
      <c r="H1970" s="3" t="s">
        <v>872</v>
      </c>
      <c r="I1970" s="3" t="s">
        <v>7043</v>
      </c>
      <c r="J1970" s="3"/>
      <c r="K1970" s="3"/>
      <c r="L1970" s="5"/>
    </row>
    <row r="1971" spans="1:12" ht="28.8" x14ac:dyDescent="0.55000000000000004">
      <c r="A1971" s="9" t="str">
        <f>HYPERLINK("PDF\FOIA-FWS-2020-00724-0001970.pdf","FOIA-FWS-2020-00724-0001970")</f>
        <v>FOIA-FWS-2020-00724-0001970</v>
      </c>
      <c r="B1971" s="3" t="s">
        <v>3537</v>
      </c>
      <c r="C1971" s="3" t="s">
        <v>3</v>
      </c>
      <c r="D1971" s="3" t="s">
        <v>33</v>
      </c>
      <c r="E1971" s="3" t="s">
        <v>3419</v>
      </c>
      <c r="F1971" s="4">
        <v>43656.775000000001</v>
      </c>
      <c r="G1971" s="3" t="s">
        <v>861</v>
      </c>
      <c r="H1971" s="3" t="s">
        <v>1119</v>
      </c>
      <c r="I1971" s="3" t="s">
        <v>7043</v>
      </c>
      <c r="J1971" s="3"/>
      <c r="K1971" s="3"/>
      <c r="L1971" s="5"/>
    </row>
    <row r="1972" spans="1:12" ht="28.8" x14ac:dyDescent="0.55000000000000004">
      <c r="A1972" s="9" t="str">
        <f>HYPERLINK("PDF\FOIA-FWS-2020-00724-0001971.pdf","FOIA-FWS-2020-00724-0001971")</f>
        <v>FOIA-FWS-2020-00724-0001971</v>
      </c>
      <c r="B1972" s="3" t="s">
        <v>3538</v>
      </c>
      <c r="C1972" s="3" t="s">
        <v>3</v>
      </c>
      <c r="D1972" s="3" t="s">
        <v>33</v>
      </c>
      <c r="E1972" s="3" t="s">
        <v>3540</v>
      </c>
      <c r="F1972" s="4">
        <v>43656.779166666667</v>
      </c>
      <c r="G1972" s="3" t="s">
        <v>955</v>
      </c>
      <c r="H1972" s="3" t="s">
        <v>3539</v>
      </c>
      <c r="I1972" s="3" t="s">
        <v>7043</v>
      </c>
      <c r="J1972" s="3"/>
      <c r="K1972" s="3"/>
      <c r="L1972" s="5"/>
    </row>
    <row r="1973" spans="1:12" ht="28.8" x14ac:dyDescent="0.55000000000000004">
      <c r="A1973" s="9" t="str">
        <f>HYPERLINK("PDF\FOIA-FWS-2020-00724-0001972.pdf","FOIA-FWS-2020-00724-0001972")</f>
        <v>FOIA-FWS-2020-00724-0001972</v>
      </c>
      <c r="B1973" s="3" t="s">
        <v>3538</v>
      </c>
      <c r="C1973" s="3" t="s">
        <v>234</v>
      </c>
      <c r="D1973" s="3" t="s">
        <v>33</v>
      </c>
      <c r="E1973" s="3" t="s">
        <v>3526</v>
      </c>
      <c r="F1973" s="4">
        <v>43656.779166666667</v>
      </c>
      <c r="G1973" s="3"/>
      <c r="H1973" s="3"/>
      <c r="I1973" s="3" t="s">
        <v>7043</v>
      </c>
      <c r="J1973" s="3"/>
      <c r="K1973" s="3"/>
      <c r="L1973" s="5"/>
    </row>
    <row r="1974" spans="1:12" ht="28.8" x14ac:dyDescent="0.55000000000000004">
      <c r="A1974" s="9" t="str">
        <f>HYPERLINK("PDF\FOIA-FWS-2020-00724-0001973.pdf","FOIA-FWS-2020-00724-0001973")</f>
        <v>FOIA-FWS-2020-00724-0001973</v>
      </c>
      <c r="B1974" s="3" t="s">
        <v>3538</v>
      </c>
      <c r="C1974" s="3" t="s">
        <v>234</v>
      </c>
      <c r="D1974" s="3" t="s">
        <v>33</v>
      </c>
      <c r="E1974" s="3" t="s">
        <v>3529</v>
      </c>
      <c r="F1974" s="4">
        <v>43656.779166666667</v>
      </c>
      <c r="G1974" s="3"/>
      <c r="H1974" s="3"/>
      <c r="I1974" s="3" t="s">
        <v>7043</v>
      </c>
      <c r="J1974" s="3"/>
      <c r="K1974" s="3"/>
      <c r="L1974" s="5"/>
    </row>
    <row r="1975" spans="1:12" ht="28.8" x14ac:dyDescent="0.55000000000000004">
      <c r="A1975" s="9" t="str">
        <f>HYPERLINK("PDF\FOIA-FWS-2020-00724-0001974.pdf","FOIA-FWS-2020-00724-0001974")</f>
        <v>FOIA-FWS-2020-00724-0001974</v>
      </c>
      <c r="B1975" s="3" t="s">
        <v>3541</v>
      </c>
      <c r="C1975" s="3" t="s">
        <v>3</v>
      </c>
      <c r="D1975" s="3" t="s">
        <v>33</v>
      </c>
      <c r="E1975" s="3" t="s">
        <v>3542</v>
      </c>
      <c r="F1975" s="4">
        <v>43657.53402777778</v>
      </c>
      <c r="G1975" s="3" t="s">
        <v>955</v>
      </c>
      <c r="H1975" s="3" t="s">
        <v>1392</v>
      </c>
      <c r="I1975" s="3" t="s">
        <v>7043</v>
      </c>
      <c r="J1975" s="3"/>
      <c r="K1975" s="3"/>
      <c r="L1975" s="5"/>
    </row>
    <row r="1976" spans="1:12" ht="28.8" x14ac:dyDescent="0.55000000000000004">
      <c r="A1976" s="9" t="str">
        <f>HYPERLINK("PDF\FOIA-FWS-2020-00724-0001975.pdf","FOIA-FWS-2020-00724-0001975")</f>
        <v>FOIA-FWS-2020-00724-0001975</v>
      </c>
      <c r="B1976" s="3" t="s">
        <v>3543</v>
      </c>
      <c r="C1976" s="3" t="s">
        <v>3</v>
      </c>
      <c r="D1976" s="3" t="s">
        <v>33</v>
      </c>
      <c r="E1976" s="3" t="s">
        <v>3545</v>
      </c>
      <c r="F1976" s="4">
        <v>43657.786805555559</v>
      </c>
      <c r="G1976" s="3" t="s">
        <v>872</v>
      </c>
      <c r="H1976" s="3" t="s">
        <v>3544</v>
      </c>
      <c r="I1976" s="3" t="s">
        <v>7043</v>
      </c>
      <c r="J1976" s="3"/>
      <c r="K1976" s="3"/>
      <c r="L1976" s="5"/>
    </row>
    <row r="1977" spans="1:12" ht="28.8" x14ac:dyDescent="0.55000000000000004">
      <c r="A1977" s="9" t="str">
        <f>HYPERLINK("PDF\FOIA-FWS-2020-00724-0001976.pdf","FOIA-FWS-2020-00724-0001976")</f>
        <v>FOIA-FWS-2020-00724-0001976</v>
      </c>
      <c r="B1977" s="3" t="s">
        <v>3546</v>
      </c>
      <c r="C1977" s="3" t="s">
        <v>3</v>
      </c>
      <c r="D1977" s="3" t="s">
        <v>33</v>
      </c>
      <c r="E1977" s="3" t="s">
        <v>3548</v>
      </c>
      <c r="F1977" s="4">
        <v>43657.788888888892</v>
      </c>
      <c r="G1977" s="3" t="s">
        <v>872</v>
      </c>
      <c r="H1977" s="3" t="s">
        <v>3547</v>
      </c>
      <c r="I1977" s="3" t="s">
        <v>7043</v>
      </c>
      <c r="J1977" s="3"/>
      <c r="K1977" s="3"/>
      <c r="L1977" s="5"/>
    </row>
    <row r="1978" spans="1:12" ht="28.8" x14ac:dyDescent="0.55000000000000004">
      <c r="A1978" s="9" t="str">
        <f>HYPERLINK("PDF\FOIA-FWS-2020-00724-0001977.pdf","FOIA-FWS-2020-00724-0001977")</f>
        <v>FOIA-FWS-2020-00724-0001977</v>
      </c>
      <c r="B1978" s="3" t="s">
        <v>3549</v>
      </c>
      <c r="C1978" s="3" t="s">
        <v>3</v>
      </c>
      <c r="D1978" s="3" t="s">
        <v>33</v>
      </c>
      <c r="E1978" s="3" t="s">
        <v>3550</v>
      </c>
      <c r="F1978" s="4">
        <v>43658</v>
      </c>
      <c r="G1978" s="3"/>
      <c r="H1978" s="3"/>
      <c r="I1978" s="3" t="s">
        <v>7043</v>
      </c>
      <c r="J1978" s="3"/>
      <c r="K1978" s="3"/>
      <c r="L1978" s="5"/>
    </row>
    <row r="1979" spans="1:12" ht="28.8" x14ac:dyDescent="0.55000000000000004">
      <c r="A1979" s="9" t="str">
        <f>HYPERLINK("PDF\FOIA-FWS-2020-00724-0001978.pdf","FOIA-FWS-2020-00724-0001978")</f>
        <v>FOIA-FWS-2020-00724-0001978</v>
      </c>
      <c r="B1979" s="3" t="s">
        <v>3551</v>
      </c>
      <c r="C1979" s="3" t="s">
        <v>3</v>
      </c>
      <c r="D1979" s="3" t="s">
        <v>33</v>
      </c>
      <c r="E1979" s="3" t="s">
        <v>3552</v>
      </c>
      <c r="F1979" s="4">
        <v>43658</v>
      </c>
      <c r="G1979" s="3"/>
      <c r="H1979" s="3"/>
      <c r="I1979" s="3" t="s">
        <v>7043</v>
      </c>
      <c r="J1979" s="3"/>
      <c r="K1979" s="3"/>
      <c r="L1979" s="5"/>
    </row>
    <row r="1980" spans="1:12" ht="28.8" x14ac:dyDescent="0.55000000000000004">
      <c r="A1980" s="9" t="str">
        <f>HYPERLINK("PDF\FOIA-FWS-2020-00724-0001979.pdf","FOIA-FWS-2020-00724-0001979")</f>
        <v>FOIA-FWS-2020-00724-0001979</v>
      </c>
      <c r="B1980" s="3" t="s">
        <v>3553</v>
      </c>
      <c r="C1980" s="3" t="s">
        <v>3</v>
      </c>
      <c r="D1980" s="3" t="s">
        <v>33</v>
      </c>
      <c r="E1980" s="3" t="s">
        <v>3554</v>
      </c>
      <c r="F1980" s="4">
        <v>43658</v>
      </c>
      <c r="G1980" s="3"/>
      <c r="H1980" s="3"/>
      <c r="I1980" s="3" t="s">
        <v>7043</v>
      </c>
      <c r="J1980" s="3"/>
      <c r="K1980" s="3"/>
      <c r="L1980" s="5"/>
    </row>
    <row r="1981" spans="1:12" ht="43.2" x14ac:dyDescent="0.55000000000000004">
      <c r="A1981" s="9" t="str">
        <f>HYPERLINK("PDF\FOIA-FWS-2020-00724-0001980.pdf","FOIA-FWS-2020-00724-0001980")</f>
        <v>FOIA-FWS-2020-00724-0001980</v>
      </c>
      <c r="B1981" s="3" t="s">
        <v>3555</v>
      </c>
      <c r="C1981" s="3" t="s">
        <v>3</v>
      </c>
      <c r="D1981" s="3" t="s">
        <v>33</v>
      </c>
      <c r="E1981" s="3" t="s">
        <v>3419</v>
      </c>
      <c r="F1981" s="4">
        <v>43658.553472222222</v>
      </c>
      <c r="G1981" s="3" t="s">
        <v>945</v>
      </c>
      <c r="H1981" s="3" t="s">
        <v>3514</v>
      </c>
      <c r="I1981" s="3" t="s">
        <v>7043</v>
      </c>
      <c r="J1981" s="3"/>
      <c r="K1981" s="3"/>
      <c r="L1981" s="5"/>
    </row>
    <row r="1982" spans="1:12" ht="28.8" x14ac:dyDescent="0.55000000000000004">
      <c r="A1982" s="9" t="str">
        <f>HYPERLINK("PDF\FOIA-FWS-2020-00724-0001981.pdf","FOIA-FWS-2020-00724-0001981")</f>
        <v>FOIA-FWS-2020-00724-0001981</v>
      </c>
      <c r="B1982" s="3" t="s">
        <v>3555</v>
      </c>
      <c r="C1982" s="3" t="s">
        <v>234</v>
      </c>
      <c r="D1982" s="3" t="s">
        <v>33</v>
      </c>
      <c r="E1982" s="3" t="s">
        <v>3556</v>
      </c>
      <c r="F1982" s="4">
        <v>43658.553472222222</v>
      </c>
      <c r="G1982" s="3"/>
      <c r="H1982" s="3"/>
      <c r="I1982" s="3" t="s">
        <v>7043</v>
      </c>
      <c r="J1982" s="3"/>
      <c r="K1982" s="3"/>
      <c r="L1982" s="5"/>
    </row>
    <row r="1983" spans="1:12" ht="28.8" x14ac:dyDescent="0.55000000000000004">
      <c r="A1983" s="9" t="str">
        <f>HYPERLINK("PDF\FOIA-FWS-2020-00724-0001982.pdf","FOIA-FWS-2020-00724-0001982")</f>
        <v>FOIA-FWS-2020-00724-0001982</v>
      </c>
      <c r="B1983" s="3" t="s">
        <v>3555</v>
      </c>
      <c r="C1983" s="3" t="s">
        <v>234</v>
      </c>
      <c r="D1983" s="3" t="s">
        <v>33</v>
      </c>
      <c r="E1983" s="3" t="s">
        <v>3557</v>
      </c>
      <c r="F1983" s="4">
        <v>43658.553472222222</v>
      </c>
      <c r="G1983" s="3"/>
      <c r="H1983" s="3"/>
      <c r="I1983" s="3" t="s">
        <v>7043</v>
      </c>
      <c r="J1983" s="3"/>
      <c r="K1983" s="3"/>
      <c r="L1983" s="5"/>
    </row>
    <row r="1984" spans="1:12" ht="28.8" x14ac:dyDescent="0.55000000000000004">
      <c r="A1984" s="9" t="str">
        <f>HYPERLINK("PDF\FOIA-FWS-2020-00724-0001983.pdf","FOIA-FWS-2020-00724-0001983")</f>
        <v>FOIA-FWS-2020-00724-0001983</v>
      </c>
      <c r="B1984" s="3" t="s">
        <v>3558</v>
      </c>
      <c r="C1984" s="3" t="s">
        <v>3</v>
      </c>
      <c r="D1984" s="3" t="s">
        <v>33</v>
      </c>
      <c r="E1984" s="3" t="s">
        <v>3419</v>
      </c>
      <c r="F1984" s="4">
        <v>43658.759722222225</v>
      </c>
      <c r="G1984" s="3" t="s">
        <v>945</v>
      </c>
      <c r="H1984" s="3" t="s">
        <v>872</v>
      </c>
      <c r="I1984" s="3" t="s">
        <v>7043</v>
      </c>
      <c r="J1984" s="3"/>
      <c r="K1984" s="3"/>
      <c r="L1984" s="5"/>
    </row>
    <row r="1985" spans="1:12" ht="28.8" x14ac:dyDescent="0.55000000000000004">
      <c r="A1985" s="9" t="str">
        <f>HYPERLINK("PDF\FOIA-FWS-2020-00724-0001984.pdf","FOIA-FWS-2020-00724-0001984")</f>
        <v>FOIA-FWS-2020-00724-0001984</v>
      </c>
      <c r="B1985" s="3" t="s">
        <v>3559</v>
      </c>
      <c r="C1985" s="3" t="s">
        <v>3</v>
      </c>
      <c r="D1985" s="3" t="s">
        <v>33</v>
      </c>
      <c r="E1985" s="3" t="s">
        <v>3561</v>
      </c>
      <c r="F1985" s="4">
        <v>43661.486111111109</v>
      </c>
      <c r="G1985" s="3" t="s">
        <v>3560</v>
      </c>
      <c r="H1985" s="3" t="s">
        <v>945</v>
      </c>
      <c r="I1985" s="3" t="s">
        <v>7043</v>
      </c>
      <c r="J1985" s="3"/>
      <c r="K1985" s="3"/>
      <c r="L1985" s="5"/>
    </row>
    <row r="1986" spans="1:12" ht="28.8" x14ac:dyDescent="0.55000000000000004">
      <c r="A1986" s="9" t="str">
        <f>HYPERLINK("PDF\FOIA-FWS-2020-00724-0001985.pdf","FOIA-FWS-2020-00724-0001985")</f>
        <v>FOIA-FWS-2020-00724-0001985</v>
      </c>
      <c r="B1986" s="3" t="s">
        <v>3562</v>
      </c>
      <c r="C1986" s="3" t="s">
        <v>3</v>
      </c>
      <c r="D1986" s="3" t="s">
        <v>33</v>
      </c>
      <c r="E1986" s="3" t="s">
        <v>3563</v>
      </c>
      <c r="F1986" s="4">
        <v>43661.566666666666</v>
      </c>
      <c r="G1986" s="3" t="s">
        <v>945</v>
      </c>
      <c r="H1986" s="3" t="s">
        <v>963</v>
      </c>
      <c r="I1986" s="3" t="s">
        <v>7043</v>
      </c>
      <c r="J1986" s="3"/>
      <c r="K1986" s="3"/>
      <c r="L1986" s="5"/>
    </row>
    <row r="1987" spans="1:12" ht="28.8" x14ac:dyDescent="0.55000000000000004">
      <c r="A1987" s="9" t="str">
        <f>HYPERLINK("PDF\FOIA-FWS-2020-00724-0001986.pdf","FOIA-FWS-2020-00724-0001986")</f>
        <v>FOIA-FWS-2020-00724-0001986</v>
      </c>
      <c r="B1987" s="3" t="s">
        <v>3562</v>
      </c>
      <c r="C1987" s="3" t="s">
        <v>234</v>
      </c>
      <c r="D1987" s="3" t="s">
        <v>33</v>
      </c>
      <c r="E1987" s="3" t="s">
        <v>3564</v>
      </c>
      <c r="F1987" s="4">
        <v>43661.566666666666</v>
      </c>
      <c r="G1987" s="3"/>
      <c r="H1987" s="3"/>
      <c r="I1987" s="3" t="s">
        <v>7043</v>
      </c>
      <c r="J1987" s="3"/>
      <c r="K1987" s="3"/>
      <c r="L1987" s="5"/>
    </row>
    <row r="1988" spans="1:12" ht="28.8" x14ac:dyDescent="0.55000000000000004">
      <c r="A1988" s="9" t="str">
        <f>HYPERLINK("PDF\FOIA-FWS-2020-00724-0001987.pdf","FOIA-FWS-2020-00724-0001987")</f>
        <v>FOIA-FWS-2020-00724-0001987</v>
      </c>
      <c r="B1988" s="3" t="s">
        <v>3565</v>
      </c>
      <c r="C1988" s="3" t="s">
        <v>3</v>
      </c>
      <c r="D1988" s="3" t="s">
        <v>33</v>
      </c>
      <c r="E1988" s="3" t="s">
        <v>3566</v>
      </c>
      <c r="F1988" s="4">
        <v>43661.619444444441</v>
      </c>
      <c r="G1988" s="3" t="s">
        <v>963</v>
      </c>
      <c r="H1988" s="3" t="s">
        <v>945</v>
      </c>
      <c r="I1988" s="3" t="s">
        <v>7043</v>
      </c>
      <c r="J1988" s="3"/>
      <c r="K1988" s="3"/>
      <c r="L1988" s="5"/>
    </row>
    <row r="1989" spans="1:12" ht="28.8" x14ac:dyDescent="0.55000000000000004">
      <c r="A1989" s="9" t="str">
        <f>HYPERLINK("PDF\FOIA-FWS-2020-00724-0001988.pdf","FOIA-FWS-2020-00724-0001988")</f>
        <v>FOIA-FWS-2020-00724-0001988</v>
      </c>
      <c r="B1989" s="3" t="s">
        <v>3565</v>
      </c>
      <c r="C1989" s="3" t="s">
        <v>234</v>
      </c>
      <c r="D1989" s="3" t="s">
        <v>33</v>
      </c>
      <c r="E1989" s="3" t="s">
        <v>3567</v>
      </c>
      <c r="F1989" s="4">
        <v>43661.619444444441</v>
      </c>
      <c r="G1989" s="3"/>
      <c r="H1989" s="3"/>
      <c r="I1989" s="3" t="s">
        <v>7043</v>
      </c>
      <c r="J1989" s="3"/>
      <c r="K1989" s="3"/>
      <c r="L1989" s="5"/>
    </row>
    <row r="1990" spans="1:12" ht="28.8" x14ac:dyDescent="0.55000000000000004">
      <c r="A1990" s="9" t="str">
        <f>HYPERLINK("PDF\FOIA-FWS-2020-00724-0001989.pdf","FOIA-FWS-2020-00724-0001989")</f>
        <v>FOIA-FWS-2020-00724-0001989</v>
      </c>
      <c r="B1990" s="3" t="s">
        <v>3568</v>
      </c>
      <c r="C1990" s="3" t="s">
        <v>3</v>
      </c>
      <c r="D1990" s="3" t="s">
        <v>33</v>
      </c>
      <c r="E1990" s="3" t="s">
        <v>3569</v>
      </c>
      <c r="F1990" s="4">
        <v>43661.62777777778</v>
      </c>
      <c r="G1990" s="3" t="s">
        <v>945</v>
      </c>
      <c r="H1990" s="3" t="s">
        <v>3560</v>
      </c>
      <c r="I1990" s="3" t="s">
        <v>7043</v>
      </c>
      <c r="J1990" s="3"/>
      <c r="K1990" s="3"/>
      <c r="L1990" s="5"/>
    </row>
    <row r="1991" spans="1:12" ht="28.8" x14ac:dyDescent="0.55000000000000004">
      <c r="A1991" s="9" t="str">
        <f>HYPERLINK("PDF\FOIA-FWS-2020-00724-0001990.pdf","FOIA-FWS-2020-00724-0001990")</f>
        <v>FOIA-FWS-2020-00724-0001990</v>
      </c>
      <c r="B1991" s="3" t="s">
        <v>3568</v>
      </c>
      <c r="C1991" s="3" t="s">
        <v>234</v>
      </c>
      <c r="D1991" s="3" t="s">
        <v>33</v>
      </c>
      <c r="E1991" s="3" t="s">
        <v>3567</v>
      </c>
      <c r="F1991" s="4">
        <v>43661.62777777778</v>
      </c>
      <c r="G1991" s="3"/>
      <c r="H1991" s="3"/>
      <c r="I1991" s="3" t="s">
        <v>7043</v>
      </c>
      <c r="J1991" s="3"/>
      <c r="K1991" s="3"/>
      <c r="L1991" s="5"/>
    </row>
    <row r="1992" spans="1:12" ht="28.8" x14ac:dyDescent="0.55000000000000004">
      <c r="A1992" s="9" t="str">
        <f>HYPERLINK("PDF\FOIA-FWS-2020-00724-0001991.pdf","FOIA-FWS-2020-00724-0001991")</f>
        <v>FOIA-FWS-2020-00724-0001991</v>
      </c>
      <c r="B1992" s="3" t="s">
        <v>3570</v>
      </c>
      <c r="C1992" s="3" t="s">
        <v>3</v>
      </c>
      <c r="D1992" s="3" t="s">
        <v>33</v>
      </c>
      <c r="E1992" s="3" t="s">
        <v>3572</v>
      </c>
      <c r="F1992" s="4">
        <v>43661.633333333331</v>
      </c>
      <c r="G1992" s="3" t="s">
        <v>955</v>
      </c>
      <c r="H1992" s="3" t="s">
        <v>3571</v>
      </c>
      <c r="I1992" s="3" t="s">
        <v>7043</v>
      </c>
      <c r="J1992" s="3"/>
      <c r="K1992" s="3"/>
      <c r="L1992" s="5"/>
    </row>
    <row r="1993" spans="1:12" ht="43.2" x14ac:dyDescent="0.55000000000000004">
      <c r="A1993" s="9" t="str">
        <f>HYPERLINK("PDF\FOIA-FWS-2020-00724-0001992.pdf","FOIA-FWS-2020-00724-0001992")</f>
        <v>FOIA-FWS-2020-00724-0001992</v>
      </c>
      <c r="B1993" s="3" t="s">
        <v>3570</v>
      </c>
      <c r="C1993" s="3" t="s">
        <v>234</v>
      </c>
      <c r="D1993" s="3" t="s">
        <v>33</v>
      </c>
      <c r="E1993" s="3" t="s">
        <v>867</v>
      </c>
      <c r="F1993" s="4">
        <v>43661.633333333331</v>
      </c>
      <c r="G1993" s="3" t="s">
        <v>1130</v>
      </c>
      <c r="H1993" s="3" t="s">
        <v>3573</v>
      </c>
      <c r="I1993" s="3" t="s">
        <v>7043</v>
      </c>
      <c r="J1993" s="3"/>
      <c r="K1993" s="3"/>
      <c r="L1993" s="5"/>
    </row>
    <row r="1994" spans="1:12" ht="28.8" x14ac:dyDescent="0.55000000000000004">
      <c r="A1994" s="9" t="str">
        <f>HYPERLINK("PDF\FOIA-FWS-2020-00724-0001993.pdf","FOIA-FWS-2020-00724-0001993")</f>
        <v>FOIA-FWS-2020-00724-0001993</v>
      </c>
      <c r="B1994" s="3" t="s">
        <v>3574</v>
      </c>
      <c r="C1994" s="3" t="s">
        <v>3</v>
      </c>
      <c r="D1994" s="3" t="s">
        <v>33</v>
      </c>
      <c r="E1994" s="3" t="s">
        <v>3575</v>
      </c>
      <c r="F1994" s="4">
        <v>43661.729166666664</v>
      </c>
      <c r="G1994" s="3" t="s">
        <v>1392</v>
      </c>
      <c r="H1994" s="3" t="s">
        <v>955</v>
      </c>
      <c r="I1994" s="3" t="s">
        <v>7043</v>
      </c>
      <c r="J1994" s="3"/>
      <c r="K1994" s="3"/>
      <c r="L1994" s="5"/>
    </row>
    <row r="1995" spans="1:12" ht="28.8" x14ac:dyDescent="0.55000000000000004">
      <c r="A1995" s="9" t="str">
        <f>HYPERLINK("PDF\FOIA-FWS-2020-00724-0001994.pdf","FOIA-FWS-2020-00724-0001994")</f>
        <v>FOIA-FWS-2020-00724-0001994</v>
      </c>
      <c r="B1995" s="3" t="s">
        <v>3576</v>
      </c>
      <c r="C1995" s="3" t="s">
        <v>3</v>
      </c>
      <c r="D1995" s="3" t="s">
        <v>33</v>
      </c>
      <c r="E1995" s="3" t="s">
        <v>3577</v>
      </c>
      <c r="F1995" s="4">
        <v>43662</v>
      </c>
      <c r="G1995" s="3"/>
      <c r="H1995" s="3"/>
      <c r="I1995" s="3" t="s">
        <v>7043</v>
      </c>
      <c r="J1995" s="3"/>
      <c r="K1995" s="3"/>
      <c r="L1995" s="5"/>
    </row>
    <row r="1996" spans="1:12" ht="28.8" x14ac:dyDescent="0.55000000000000004">
      <c r="A1996" s="9" t="str">
        <f>HYPERLINK("PDF\FOIA-FWS-2020-00724-0001995.pdf","FOIA-FWS-2020-00724-0001995")</f>
        <v>FOIA-FWS-2020-00724-0001995</v>
      </c>
      <c r="B1996" s="3" t="s">
        <v>3578</v>
      </c>
      <c r="C1996" s="3" t="s">
        <v>3</v>
      </c>
      <c r="D1996" s="3" t="s">
        <v>33</v>
      </c>
      <c r="E1996" s="3" t="s">
        <v>3579</v>
      </c>
      <c r="F1996" s="4">
        <v>43662</v>
      </c>
      <c r="G1996" s="3"/>
      <c r="H1996" s="3"/>
      <c r="I1996" s="3" t="s">
        <v>7043</v>
      </c>
      <c r="J1996" s="3"/>
      <c r="K1996" s="3"/>
      <c r="L1996" s="5"/>
    </row>
    <row r="1997" spans="1:12" ht="43.2" x14ac:dyDescent="0.55000000000000004">
      <c r="A1997" s="9" t="str">
        <f>HYPERLINK("PDF\FOIA-FWS-2020-00724-0001996.pdf","FOIA-FWS-2020-00724-0001996")</f>
        <v>FOIA-FWS-2020-00724-0001996</v>
      </c>
      <c r="B1997" s="3" t="s">
        <v>3580</v>
      </c>
      <c r="C1997" s="3" t="s">
        <v>3</v>
      </c>
      <c r="D1997" s="3" t="s">
        <v>33</v>
      </c>
      <c r="E1997" s="3" t="s">
        <v>3419</v>
      </c>
      <c r="F1997" s="4">
        <v>43662.678472222222</v>
      </c>
      <c r="G1997" s="3" t="s">
        <v>945</v>
      </c>
      <c r="H1997" s="3" t="s">
        <v>3514</v>
      </c>
      <c r="I1997" s="3" t="s">
        <v>7043</v>
      </c>
      <c r="J1997" s="3"/>
      <c r="K1997" s="3"/>
      <c r="L1997" s="5"/>
    </row>
    <row r="1998" spans="1:12" ht="28.8" x14ac:dyDescent="0.55000000000000004">
      <c r="A1998" s="9" t="str">
        <f>HYPERLINK("PDF\FOIA-FWS-2020-00724-0001997.pdf","FOIA-FWS-2020-00724-0001997")</f>
        <v>FOIA-FWS-2020-00724-0001997</v>
      </c>
      <c r="B1998" s="3" t="s">
        <v>3580</v>
      </c>
      <c r="C1998" s="3" t="s">
        <v>234</v>
      </c>
      <c r="D1998" s="3" t="s">
        <v>33</v>
      </c>
      <c r="E1998" s="3" t="s">
        <v>3581</v>
      </c>
      <c r="F1998" s="4">
        <v>43662.678472222222</v>
      </c>
      <c r="G1998" s="3"/>
      <c r="H1998" s="3"/>
      <c r="I1998" s="3" t="s">
        <v>7043</v>
      </c>
      <c r="J1998" s="3"/>
      <c r="K1998" s="3"/>
      <c r="L1998" s="5"/>
    </row>
    <row r="1999" spans="1:12" ht="28.8" x14ac:dyDescent="0.55000000000000004">
      <c r="A1999" s="9" t="str">
        <f>HYPERLINK("PDF\FOIA-FWS-2020-00724-0001998.pdf","FOIA-FWS-2020-00724-0001998")</f>
        <v>FOIA-FWS-2020-00724-0001998</v>
      </c>
      <c r="B1999" s="3" t="s">
        <v>3582</v>
      </c>
      <c r="C1999" s="3" t="s">
        <v>3</v>
      </c>
      <c r="D1999" s="3" t="s">
        <v>33</v>
      </c>
      <c r="E1999" s="3" t="s">
        <v>3583</v>
      </c>
      <c r="F1999" s="4">
        <v>43663.50277777778</v>
      </c>
      <c r="G1999" s="3" t="s">
        <v>955</v>
      </c>
      <c r="H1999" s="3" t="s">
        <v>1119</v>
      </c>
      <c r="I1999" s="3" t="s">
        <v>7043</v>
      </c>
      <c r="J1999" s="3"/>
      <c r="K1999" s="3"/>
      <c r="L1999" s="5"/>
    </row>
    <row r="2000" spans="1:12" ht="28.8" x14ac:dyDescent="0.55000000000000004">
      <c r="A2000" s="9" t="str">
        <f>HYPERLINK("PDF\FOIA-FWS-2020-00724-0001999.pdf","FOIA-FWS-2020-00724-0001999")</f>
        <v>FOIA-FWS-2020-00724-0001999</v>
      </c>
      <c r="B2000" s="3" t="s">
        <v>3584</v>
      </c>
      <c r="C2000" s="3" t="s">
        <v>3</v>
      </c>
      <c r="D2000" s="3" t="s">
        <v>33</v>
      </c>
      <c r="E2000" s="3" t="s">
        <v>3585</v>
      </c>
      <c r="F2000" s="4">
        <v>43663.566666666666</v>
      </c>
      <c r="G2000" s="3" t="s">
        <v>1119</v>
      </c>
      <c r="H2000" s="3" t="s">
        <v>955</v>
      </c>
      <c r="I2000" s="3" t="s">
        <v>7043</v>
      </c>
      <c r="J2000" s="3"/>
      <c r="K2000" s="3"/>
      <c r="L2000" s="5"/>
    </row>
    <row r="2001" spans="1:12" ht="28.8" x14ac:dyDescent="0.55000000000000004">
      <c r="A2001" s="9" t="str">
        <f>HYPERLINK("PDF\FOIA-FWS-2020-00724-0002000.pdf","FOIA-FWS-2020-00724-0002000")</f>
        <v>FOIA-FWS-2020-00724-0002000</v>
      </c>
      <c r="B2001" s="3" t="s">
        <v>3584</v>
      </c>
      <c r="C2001" s="3" t="s">
        <v>234</v>
      </c>
      <c r="D2001" s="3" t="s">
        <v>33</v>
      </c>
      <c r="E2001" s="3" t="s">
        <v>3508</v>
      </c>
      <c r="F2001" s="4">
        <v>43663.566666666666</v>
      </c>
      <c r="G2001" s="3"/>
      <c r="H2001" s="3"/>
      <c r="I2001" s="3" t="s">
        <v>7043</v>
      </c>
      <c r="J2001" s="3"/>
      <c r="K2001" s="3"/>
      <c r="L2001" s="5"/>
    </row>
    <row r="2002" spans="1:12" ht="28.8" x14ac:dyDescent="0.55000000000000004">
      <c r="A2002" s="9" t="str">
        <f>HYPERLINK("PDF\FOIA-FWS-2020-00724-0002001.pdf","FOIA-FWS-2020-00724-0002001")</f>
        <v>FOIA-FWS-2020-00724-0002001</v>
      </c>
      <c r="B2002" s="3" t="s">
        <v>3584</v>
      </c>
      <c r="C2002" s="3" t="s">
        <v>234</v>
      </c>
      <c r="D2002" s="3" t="s">
        <v>33</v>
      </c>
      <c r="E2002" s="3" t="s">
        <v>3586</v>
      </c>
      <c r="F2002" s="4">
        <v>43663.566666666666</v>
      </c>
      <c r="G2002" s="3"/>
      <c r="H2002" s="3"/>
      <c r="I2002" s="3" t="s">
        <v>7043</v>
      </c>
      <c r="J2002" s="3"/>
      <c r="K2002" s="3"/>
      <c r="L2002" s="5"/>
    </row>
    <row r="2003" spans="1:12" ht="43.2" x14ac:dyDescent="0.55000000000000004">
      <c r="A2003" s="9" t="str">
        <f>HYPERLINK("PDF\FOIA-FWS-2020-00724-0002002.pdf","FOIA-FWS-2020-00724-0002002")</f>
        <v>FOIA-FWS-2020-00724-0002002</v>
      </c>
      <c r="B2003" s="3" t="s">
        <v>3587</v>
      </c>
      <c r="C2003" s="3" t="s">
        <v>3</v>
      </c>
      <c r="D2003" s="3" t="s">
        <v>33</v>
      </c>
      <c r="E2003" s="3" t="s">
        <v>3589</v>
      </c>
      <c r="F2003" s="4">
        <v>43663.586805555555</v>
      </c>
      <c r="G2003" s="3" t="s">
        <v>1119</v>
      </c>
      <c r="H2003" s="3" t="s">
        <v>3588</v>
      </c>
      <c r="I2003" s="3" t="s">
        <v>7043</v>
      </c>
      <c r="J2003" s="3"/>
      <c r="K2003" s="3"/>
      <c r="L2003" s="5"/>
    </row>
    <row r="2004" spans="1:12" ht="28.8" x14ac:dyDescent="0.55000000000000004">
      <c r="A2004" s="9" t="str">
        <f>HYPERLINK("PDF\FOIA-FWS-2020-00724-0002003.pdf","FOIA-FWS-2020-00724-0002003")</f>
        <v>FOIA-FWS-2020-00724-0002003</v>
      </c>
      <c r="B2004" s="3" t="s">
        <v>3587</v>
      </c>
      <c r="C2004" s="3" t="s">
        <v>234</v>
      </c>
      <c r="D2004" s="3" t="s">
        <v>33</v>
      </c>
      <c r="E2004" s="3" t="s">
        <v>3586</v>
      </c>
      <c r="F2004" s="4">
        <v>43663.586805555555</v>
      </c>
      <c r="G2004" s="3"/>
      <c r="H2004" s="3"/>
      <c r="I2004" s="3" t="s">
        <v>7043</v>
      </c>
      <c r="J2004" s="3"/>
      <c r="K2004" s="3"/>
      <c r="L2004" s="5"/>
    </row>
    <row r="2005" spans="1:12" ht="28.8" x14ac:dyDescent="0.55000000000000004">
      <c r="A2005" s="9" t="str">
        <f>HYPERLINK("PDF\FOIA-FWS-2020-00724-0002004.pdf","FOIA-FWS-2020-00724-0002004")</f>
        <v>FOIA-FWS-2020-00724-0002004</v>
      </c>
      <c r="B2005" s="3" t="s">
        <v>3590</v>
      </c>
      <c r="C2005" s="3" t="s">
        <v>3</v>
      </c>
      <c r="D2005" s="3" t="s">
        <v>33</v>
      </c>
      <c r="E2005" s="3" t="s">
        <v>3592</v>
      </c>
      <c r="F2005" s="4">
        <v>43663.640277777777</v>
      </c>
      <c r="G2005" s="3" t="s">
        <v>945</v>
      </c>
      <c r="H2005" s="3" t="s">
        <v>3591</v>
      </c>
      <c r="I2005" s="3" t="s">
        <v>7043</v>
      </c>
      <c r="J2005" s="3"/>
      <c r="K2005" s="3"/>
      <c r="L2005" s="5"/>
    </row>
    <row r="2006" spans="1:12" ht="28.8" x14ac:dyDescent="0.55000000000000004">
      <c r="A2006" s="9" t="str">
        <f>HYPERLINK("PDF\FOIA-FWS-2020-00724-0002005.pdf","FOIA-FWS-2020-00724-0002005")</f>
        <v>FOIA-FWS-2020-00724-0002005</v>
      </c>
      <c r="B2006" s="3" t="s">
        <v>3590</v>
      </c>
      <c r="C2006" s="3" t="s">
        <v>234</v>
      </c>
      <c r="D2006" s="3" t="s">
        <v>33</v>
      </c>
      <c r="E2006" s="3" t="s">
        <v>3593</v>
      </c>
      <c r="F2006" s="4">
        <v>43663.640277777777</v>
      </c>
      <c r="G2006" s="3"/>
      <c r="H2006" s="3"/>
      <c r="I2006" s="3" t="s">
        <v>7043</v>
      </c>
      <c r="J2006" s="3"/>
      <c r="K2006" s="3"/>
      <c r="L2006" s="5"/>
    </row>
    <row r="2007" spans="1:12" ht="43.2" x14ac:dyDescent="0.55000000000000004">
      <c r="A2007" s="9" t="str">
        <f>HYPERLINK("PDF\FOIA-FWS-2020-00724-0002006.pdf","FOIA-FWS-2020-00724-0002006")</f>
        <v>FOIA-FWS-2020-00724-0002006</v>
      </c>
      <c r="B2007" s="3" t="s">
        <v>3594</v>
      </c>
      <c r="C2007" s="3" t="s">
        <v>3</v>
      </c>
      <c r="D2007" s="3" t="s">
        <v>33</v>
      </c>
      <c r="E2007" s="3" t="s">
        <v>3589</v>
      </c>
      <c r="F2007" s="4">
        <v>43663.661805555559</v>
      </c>
      <c r="G2007" s="3" t="s">
        <v>872</v>
      </c>
      <c r="H2007" s="3" t="s">
        <v>3595</v>
      </c>
      <c r="I2007" s="3" t="s">
        <v>7043</v>
      </c>
      <c r="J2007" s="3"/>
      <c r="K2007" s="3"/>
      <c r="L2007" s="5"/>
    </row>
    <row r="2008" spans="1:12" ht="28.8" x14ac:dyDescent="0.55000000000000004">
      <c r="A2008" s="9" t="str">
        <f>HYPERLINK("PDF\FOIA-FWS-2020-00724-0002007.pdf","FOIA-FWS-2020-00724-0002007")</f>
        <v>FOIA-FWS-2020-00724-0002007</v>
      </c>
      <c r="B2008" s="3" t="s">
        <v>3594</v>
      </c>
      <c r="C2008" s="3" t="s">
        <v>234</v>
      </c>
      <c r="D2008" s="3" t="s">
        <v>33</v>
      </c>
      <c r="E2008" s="3" t="s">
        <v>3596</v>
      </c>
      <c r="F2008" s="4">
        <v>43663.661805555559</v>
      </c>
      <c r="G2008" s="3"/>
      <c r="H2008" s="3"/>
      <c r="I2008" s="3" t="s">
        <v>7043</v>
      </c>
      <c r="J2008" s="3"/>
      <c r="K2008" s="3"/>
      <c r="L2008" s="5"/>
    </row>
    <row r="2009" spans="1:12" ht="28.8" x14ac:dyDescent="0.55000000000000004">
      <c r="A2009" s="9" t="str">
        <f>HYPERLINK("PDF\FOIA-FWS-2020-00724-0002008.pdf","FOIA-FWS-2020-00724-0002008")</f>
        <v>FOIA-FWS-2020-00724-0002008</v>
      </c>
      <c r="B2009" s="3" t="s">
        <v>3597</v>
      </c>
      <c r="C2009" s="3" t="s">
        <v>3</v>
      </c>
      <c r="D2009" s="3" t="s">
        <v>33</v>
      </c>
      <c r="E2009" s="3" t="s">
        <v>3419</v>
      </c>
      <c r="F2009" s="4">
        <v>43663.729166666664</v>
      </c>
      <c r="G2009" s="3" t="s">
        <v>945</v>
      </c>
      <c r="H2009" s="3" t="s">
        <v>1119</v>
      </c>
      <c r="I2009" s="3" t="s">
        <v>7043</v>
      </c>
      <c r="J2009" s="3"/>
      <c r="K2009" s="3"/>
      <c r="L2009" s="5"/>
    </row>
    <row r="2010" spans="1:12" ht="28.8" x14ac:dyDescent="0.55000000000000004">
      <c r="A2010" s="9" t="str">
        <f>HYPERLINK("PDF\FOIA-FWS-2020-00724-0002009.pdf","FOIA-FWS-2020-00724-0002009")</f>
        <v>FOIA-FWS-2020-00724-0002009</v>
      </c>
      <c r="B2010" s="3" t="s">
        <v>3598</v>
      </c>
      <c r="C2010" s="3" t="s">
        <v>3</v>
      </c>
      <c r="D2010" s="3" t="s">
        <v>33</v>
      </c>
      <c r="E2010" s="3" t="s">
        <v>3600</v>
      </c>
      <c r="F2010" s="4">
        <v>43663.743055555555</v>
      </c>
      <c r="G2010" s="3" t="s">
        <v>955</v>
      </c>
      <c r="H2010" s="3" t="s">
        <v>3599</v>
      </c>
      <c r="I2010" s="3" t="s">
        <v>7048</v>
      </c>
      <c r="J2010" s="3" t="s">
        <v>7050</v>
      </c>
      <c r="K2010" s="3" t="s">
        <v>7036</v>
      </c>
      <c r="L2010" s="5"/>
    </row>
    <row r="2011" spans="1:12" ht="28.8" x14ac:dyDescent="0.55000000000000004">
      <c r="A2011" s="9" t="str">
        <f>HYPERLINK("PDF\FOIA-FWS-2020-00724-0002010.pdf","FOIA-FWS-2020-00724-0002010")</f>
        <v>FOIA-FWS-2020-00724-0002010</v>
      </c>
      <c r="B2011" s="3" t="s">
        <v>3598</v>
      </c>
      <c r="C2011" s="3" t="s">
        <v>234</v>
      </c>
      <c r="D2011" s="3" t="s">
        <v>33</v>
      </c>
      <c r="E2011" s="3" t="s">
        <v>3601</v>
      </c>
      <c r="F2011" s="4">
        <v>43663.743055555555</v>
      </c>
      <c r="G2011" s="3"/>
      <c r="H2011" s="3"/>
      <c r="I2011" s="3" t="s">
        <v>7043</v>
      </c>
      <c r="J2011" s="3"/>
      <c r="K2011" s="3"/>
      <c r="L2011" s="5"/>
    </row>
    <row r="2012" spans="1:12" ht="28.8" x14ac:dyDescent="0.55000000000000004">
      <c r="A2012" s="9" t="str">
        <f>HYPERLINK("PDF\FOIA-FWS-2020-00724-0002011.pdf","FOIA-FWS-2020-00724-0002011")</f>
        <v>FOIA-FWS-2020-00724-0002011</v>
      </c>
      <c r="B2012" s="3" t="s">
        <v>3602</v>
      </c>
      <c r="C2012" s="3" t="s">
        <v>3</v>
      </c>
      <c r="D2012" s="3" t="s">
        <v>33</v>
      </c>
      <c r="E2012" s="3" t="s">
        <v>3603</v>
      </c>
      <c r="F2012" s="4">
        <v>43663.781944444447</v>
      </c>
      <c r="G2012" s="3" t="s">
        <v>945</v>
      </c>
      <c r="H2012" s="3" t="s">
        <v>963</v>
      </c>
      <c r="I2012" s="3" t="s">
        <v>7043</v>
      </c>
      <c r="J2012" s="3"/>
      <c r="K2012" s="3"/>
      <c r="L2012" s="5"/>
    </row>
    <row r="2013" spans="1:12" ht="43.2" x14ac:dyDescent="0.55000000000000004">
      <c r="A2013" s="9" t="str">
        <f>HYPERLINK("PDF\FOIA-FWS-2020-00724-0002012.pdf","FOIA-FWS-2020-00724-0002012")</f>
        <v>FOIA-FWS-2020-00724-0002012</v>
      </c>
      <c r="B2013" s="3" t="s">
        <v>3604</v>
      </c>
      <c r="C2013" s="3" t="s">
        <v>3</v>
      </c>
      <c r="D2013" s="3" t="s">
        <v>33</v>
      </c>
      <c r="E2013" s="3" t="s">
        <v>3589</v>
      </c>
      <c r="F2013" s="4">
        <v>43664.467361111114</v>
      </c>
      <c r="G2013" s="3" t="s">
        <v>919</v>
      </c>
      <c r="H2013" s="3" t="s">
        <v>3605</v>
      </c>
      <c r="I2013" s="3" t="s">
        <v>7043</v>
      </c>
      <c r="J2013" s="3"/>
      <c r="K2013" s="3"/>
      <c r="L2013" s="5"/>
    </row>
    <row r="2014" spans="1:12" ht="28.8" x14ac:dyDescent="0.55000000000000004">
      <c r="A2014" s="9" t="str">
        <f>HYPERLINK("PDF\FOIA-FWS-2020-00724-0002013.pdf","FOIA-FWS-2020-00724-0002013")</f>
        <v>FOIA-FWS-2020-00724-0002013</v>
      </c>
      <c r="B2014" s="3" t="s">
        <v>3604</v>
      </c>
      <c r="C2014" s="3" t="s">
        <v>234</v>
      </c>
      <c r="D2014" s="3" t="s">
        <v>33</v>
      </c>
      <c r="E2014" s="3" t="s">
        <v>3606</v>
      </c>
      <c r="F2014" s="4">
        <v>43664.467361111114</v>
      </c>
      <c r="G2014" s="3"/>
      <c r="H2014" s="3"/>
      <c r="I2014" s="3" t="s">
        <v>7043</v>
      </c>
      <c r="J2014" s="3"/>
      <c r="K2014" s="3"/>
      <c r="L2014" s="5"/>
    </row>
    <row r="2015" spans="1:12" ht="43.2" x14ac:dyDescent="0.55000000000000004">
      <c r="A2015" s="9" t="str">
        <f>HYPERLINK("PDF\FOIA-FWS-2020-00724-0002014.pdf","FOIA-FWS-2020-00724-0002014")</f>
        <v>FOIA-FWS-2020-00724-0002014</v>
      </c>
      <c r="B2015" s="3" t="s">
        <v>3607</v>
      </c>
      <c r="C2015" s="3" t="s">
        <v>3</v>
      </c>
      <c r="D2015" s="3" t="s">
        <v>33</v>
      </c>
      <c r="E2015" s="3" t="s">
        <v>3589</v>
      </c>
      <c r="F2015" s="4">
        <v>43665.47152777778</v>
      </c>
      <c r="G2015" s="3" t="s">
        <v>919</v>
      </c>
      <c r="H2015" s="3" t="s">
        <v>3605</v>
      </c>
      <c r="I2015" s="3" t="s">
        <v>7043</v>
      </c>
      <c r="J2015" s="3"/>
      <c r="K2015" s="3"/>
      <c r="L2015" s="5"/>
    </row>
    <row r="2016" spans="1:12" ht="28.8" x14ac:dyDescent="0.55000000000000004">
      <c r="A2016" s="9" t="str">
        <f>HYPERLINK("PDF\FOIA-FWS-2020-00724-0002015.pdf","FOIA-FWS-2020-00724-0002015")</f>
        <v>FOIA-FWS-2020-00724-0002015</v>
      </c>
      <c r="B2016" s="3" t="s">
        <v>3607</v>
      </c>
      <c r="C2016" s="3" t="s">
        <v>234</v>
      </c>
      <c r="D2016" s="3" t="s">
        <v>33</v>
      </c>
      <c r="E2016" s="3" t="s">
        <v>3608</v>
      </c>
      <c r="F2016" s="4">
        <v>43665.47152777778</v>
      </c>
      <c r="G2016" s="3"/>
      <c r="H2016" s="3"/>
      <c r="I2016" s="3" t="s">
        <v>7043</v>
      </c>
      <c r="J2016" s="3"/>
      <c r="K2016" s="3"/>
      <c r="L2016" s="5"/>
    </row>
    <row r="2017" spans="1:12" ht="28.8" x14ac:dyDescent="0.55000000000000004">
      <c r="A2017" s="9" t="str">
        <f>HYPERLINK("PDF\FOIA-FWS-2020-00724-0002016.pdf","FOIA-FWS-2020-00724-0002016")</f>
        <v>FOIA-FWS-2020-00724-0002016</v>
      </c>
      <c r="B2017" s="3" t="s">
        <v>3609</v>
      </c>
      <c r="C2017" s="3" t="s">
        <v>3</v>
      </c>
      <c r="D2017" s="3" t="s">
        <v>33</v>
      </c>
      <c r="E2017" s="3" t="s">
        <v>3610</v>
      </c>
      <c r="F2017" s="4">
        <v>43665.588888888888</v>
      </c>
      <c r="G2017" s="3" t="s">
        <v>1119</v>
      </c>
      <c r="H2017" s="3" t="s">
        <v>955</v>
      </c>
      <c r="I2017" s="3" t="s">
        <v>7043</v>
      </c>
      <c r="J2017" s="3"/>
      <c r="K2017" s="3"/>
      <c r="L2017" s="5"/>
    </row>
    <row r="2018" spans="1:12" ht="28.8" x14ac:dyDescent="0.55000000000000004">
      <c r="A2018" s="9" t="str">
        <f>HYPERLINK("PDF\FOIA-FWS-2020-00724-0002017.pdf","FOIA-FWS-2020-00724-0002017")</f>
        <v>FOIA-FWS-2020-00724-0002017</v>
      </c>
      <c r="B2018" s="3" t="s">
        <v>3609</v>
      </c>
      <c r="C2018" s="3" t="s">
        <v>234</v>
      </c>
      <c r="D2018" s="3" t="s">
        <v>33</v>
      </c>
      <c r="E2018" s="3" t="s">
        <v>3611</v>
      </c>
      <c r="F2018" s="4">
        <v>43665.588888888888</v>
      </c>
      <c r="G2018" s="3"/>
      <c r="H2018" s="3"/>
      <c r="I2018" s="3" t="s">
        <v>7043</v>
      </c>
      <c r="J2018" s="3"/>
      <c r="K2018" s="3"/>
      <c r="L2018" s="5"/>
    </row>
    <row r="2019" spans="1:12" ht="43.2" x14ac:dyDescent="0.55000000000000004">
      <c r="A2019" s="9" t="str">
        <f>HYPERLINK("PDF\FOIA-FWS-2020-00724-0002018.pdf","FOIA-FWS-2020-00724-0002018")</f>
        <v>FOIA-FWS-2020-00724-0002018</v>
      </c>
      <c r="B2019" s="3" t="s">
        <v>3612</v>
      </c>
      <c r="C2019" s="3" t="s">
        <v>3</v>
      </c>
      <c r="D2019" s="3" t="s">
        <v>33</v>
      </c>
      <c r="E2019" s="3" t="s">
        <v>3589</v>
      </c>
      <c r="F2019" s="4">
        <v>43665.618750000001</v>
      </c>
      <c r="G2019" s="3" t="s">
        <v>1119</v>
      </c>
      <c r="H2019" s="3" t="s">
        <v>3588</v>
      </c>
      <c r="I2019" s="3" t="s">
        <v>7043</v>
      </c>
      <c r="J2019" s="3"/>
      <c r="K2019" s="3"/>
      <c r="L2019" s="5"/>
    </row>
    <row r="2020" spans="1:12" ht="28.8" x14ac:dyDescent="0.55000000000000004">
      <c r="A2020" s="9" t="str">
        <f>HYPERLINK("PDF\FOIA-FWS-2020-00724-0002019.pdf","FOIA-FWS-2020-00724-0002019")</f>
        <v>FOIA-FWS-2020-00724-0002019</v>
      </c>
      <c r="B2020" s="3" t="s">
        <v>3612</v>
      </c>
      <c r="C2020" s="3" t="s">
        <v>234</v>
      </c>
      <c r="D2020" s="3" t="s">
        <v>33</v>
      </c>
      <c r="E2020" s="3" t="s">
        <v>3611</v>
      </c>
      <c r="F2020" s="4">
        <v>43665.618750000001</v>
      </c>
      <c r="G2020" s="3"/>
      <c r="H2020" s="3"/>
      <c r="I2020" s="3" t="s">
        <v>7043</v>
      </c>
      <c r="J2020" s="3"/>
      <c r="K2020" s="3"/>
      <c r="L2020" s="5"/>
    </row>
    <row r="2021" spans="1:12" ht="28.8" x14ac:dyDescent="0.55000000000000004">
      <c r="A2021" s="9" t="str">
        <f>HYPERLINK("PDF\FOIA-FWS-2020-00724-0002020.pdf","FOIA-FWS-2020-00724-0002020")</f>
        <v>FOIA-FWS-2020-00724-0002020</v>
      </c>
      <c r="B2021" s="3" t="s">
        <v>3613</v>
      </c>
      <c r="C2021" s="3" t="s">
        <v>3</v>
      </c>
      <c r="D2021" s="3" t="s">
        <v>33</v>
      </c>
      <c r="E2021" s="3" t="s">
        <v>3419</v>
      </c>
      <c r="F2021" s="4">
        <v>43665.70208333333</v>
      </c>
      <c r="G2021" s="3" t="s">
        <v>945</v>
      </c>
      <c r="H2021" s="3" t="s">
        <v>919</v>
      </c>
      <c r="I2021" s="3" t="s">
        <v>7043</v>
      </c>
      <c r="J2021" s="3"/>
      <c r="K2021" s="3"/>
      <c r="L2021" s="5"/>
    </row>
    <row r="2022" spans="1:12" ht="28.8" x14ac:dyDescent="0.55000000000000004">
      <c r="A2022" s="9" t="str">
        <f>HYPERLINK("PDF\FOIA-FWS-2020-00724-0002021.pdf","FOIA-FWS-2020-00724-0002021")</f>
        <v>FOIA-FWS-2020-00724-0002021</v>
      </c>
      <c r="B2022" s="3" t="s">
        <v>3614</v>
      </c>
      <c r="C2022" s="3" t="s">
        <v>3</v>
      </c>
      <c r="D2022" s="3" t="s">
        <v>33</v>
      </c>
      <c r="E2022" s="3" t="s">
        <v>3615</v>
      </c>
      <c r="F2022" s="4">
        <v>43668.570833333331</v>
      </c>
      <c r="G2022" s="3" t="s">
        <v>872</v>
      </c>
      <c r="H2022" s="3" t="s">
        <v>2543</v>
      </c>
      <c r="I2022" s="3" t="s">
        <v>7043</v>
      </c>
      <c r="J2022" s="3"/>
      <c r="K2022" s="3"/>
      <c r="L2022" s="5"/>
    </row>
    <row r="2023" spans="1:12" ht="28.8" x14ac:dyDescent="0.55000000000000004">
      <c r="A2023" s="9" t="str">
        <f>HYPERLINK("PDF\FOIA-FWS-2020-00724-0002022.pdf","FOIA-FWS-2020-00724-0002022")</f>
        <v>FOIA-FWS-2020-00724-0002022</v>
      </c>
      <c r="B2023" s="3" t="s">
        <v>3616</v>
      </c>
      <c r="C2023" s="3" t="s">
        <v>3</v>
      </c>
      <c r="D2023" s="3" t="s">
        <v>33</v>
      </c>
      <c r="E2023" s="3" t="s">
        <v>3589</v>
      </c>
      <c r="F2023" s="4">
        <v>43668.609722222223</v>
      </c>
      <c r="G2023" s="3" t="s">
        <v>872</v>
      </c>
      <c r="H2023" s="3" t="s">
        <v>3617</v>
      </c>
      <c r="I2023" s="3" t="s">
        <v>7043</v>
      </c>
      <c r="J2023" s="3"/>
      <c r="K2023" s="3"/>
      <c r="L2023" s="5"/>
    </row>
    <row r="2024" spans="1:12" ht="28.8" x14ac:dyDescent="0.55000000000000004">
      <c r="A2024" s="9" t="str">
        <f>HYPERLINK("PDF\FOIA-FWS-2020-00724-0002023.pdf","FOIA-FWS-2020-00724-0002023")</f>
        <v>FOIA-FWS-2020-00724-0002023</v>
      </c>
      <c r="B2024" s="3" t="s">
        <v>3618</v>
      </c>
      <c r="C2024" s="3" t="s">
        <v>3</v>
      </c>
      <c r="D2024" s="3" t="s">
        <v>33</v>
      </c>
      <c r="E2024" s="3" t="s">
        <v>3619</v>
      </c>
      <c r="F2024" s="4">
        <v>43668.763194444444</v>
      </c>
      <c r="G2024" s="3" t="s">
        <v>945</v>
      </c>
      <c r="H2024" s="3" t="s">
        <v>1631</v>
      </c>
      <c r="I2024" s="3" t="s">
        <v>7043</v>
      </c>
      <c r="J2024" s="3"/>
      <c r="K2024" s="3"/>
      <c r="L2024" s="5"/>
    </row>
    <row r="2025" spans="1:12" ht="28.8" x14ac:dyDescent="0.55000000000000004">
      <c r="A2025" s="9" t="str">
        <f>HYPERLINK("PDF\FOIA-FWS-2020-00724-0002024.pdf","FOIA-FWS-2020-00724-0002024")</f>
        <v>FOIA-FWS-2020-00724-0002024</v>
      </c>
      <c r="B2025" s="3" t="s">
        <v>3618</v>
      </c>
      <c r="C2025" s="3" t="s">
        <v>234</v>
      </c>
      <c r="D2025" s="3" t="s">
        <v>33</v>
      </c>
      <c r="E2025" s="3" t="s">
        <v>3620</v>
      </c>
      <c r="F2025" s="4">
        <v>43668.763194444444</v>
      </c>
      <c r="G2025" s="3"/>
      <c r="H2025" s="3"/>
      <c r="I2025" s="3" t="s">
        <v>7043</v>
      </c>
      <c r="J2025" s="3"/>
      <c r="K2025" s="3"/>
      <c r="L2025" s="5"/>
    </row>
    <row r="2026" spans="1:12" ht="28.8" x14ac:dyDescent="0.55000000000000004">
      <c r="A2026" s="9" t="str">
        <f>HYPERLINK("PDF\FOIA-FWS-2020-00724-0002025.pdf","FOIA-FWS-2020-00724-0002025")</f>
        <v>FOIA-FWS-2020-00724-0002025</v>
      </c>
      <c r="B2026" s="3" t="s">
        <v>3621</v>
      </c>
      <c r="C2026" s="3" t="s">
        <v>3</v>
      </c>
      <c r="D2026" s="3" t="s">
        <v>33</v>
      </c>
      <c r="E2026" s="3" t="s">
        <v>3623</v>
      </c>
      <c r="F2026" s="4">
        <v>43668.765277777777</v>
      </c>
      <c r="G2026" s="3" t="s">
        <v>945</v>
      </c>
      <c r="H2026" s="3" t="s">
        <v>3622</v>
      </c>
      <c r="I2026" s="3" t="s">
        <v>7043</v>
      </c>
      <c r="J2026" s="3"/>
      <c r="K2026" s="3"/>
      <c r="L2026" s="5"/>
    </row>
    <row r="2027" spans="1:12" ht="28.8" x14ac:dyDescent="0.55000000000000004">
      <c r="A2027" s="9" t="str">
        <f>HYPERLINK("PDF\FOIA-FWS-2020-00724-0002026.pdf","FOIA-FWS-2020-00724-0002026")</f>
        <v>FOIA-FWS-2020-00724-0002026</v>
      </c>
      <c r="B2027" s="3" t="s">
        <v>3624</v>
      </c>
      <c r="C2027" s="3" t="s">
        <v>3</v>
      </c>
      <c r="D2027" s="3" t="s">
        <v>33</v>
      </c>
      <c r="E2027" s="3" t="s">
        <v>3615</v>
      </c>
      <c r="F2027" s="4">
        <v>43668.768055555556</v>
      </c>
      <c r="G2027" s="3" t="s">
        <v>872</v>
      </c>
      <c r="H2027" s="3" t="s">
        <v>3625</v>
      </c>
      <c r="I2027" s="3" t="s">
        <v>7043</v>
      </c>
      <c r="J2027" s="3"/>
      <c r="K2027" s="3"/>
      <c r="L2027" s="5"/>
    </row>
    <row r="2028" spans="1:12" ht="28.8" x14ac:dyDescent="0.55000000000000004">
      <c r="A2028" s="9" t="str">
        <f>HYPERLINK("PDF\FOIA-FWS-2020-00724-0002027.pdf","FOIA-FWS-2020-00724-0002027")</f>
        <v>FOIA-FWS-2020-00724-0002027</v>
      </c>
      <c r="B2028" s="3" t="s">
        <v>3626</v>
      </c>
      <c r="C2028" s="3" t="s">
        <v>3</v>
      </c>
      <c r="D2028" s="3" t="s">
        <v>33</v>
      </c>
      <c r="E2028" s="3" t="s">
        <v>3623</v>
      </c>
      <c r="F2028" s="4">
        <v>43669.81527777778</v>
      </c>
      <c r="G2028" s="3" t="s">
        <v>955</v>
      </c>
      <c r="H2028" s="3" t="s">
        <v>945</v>
      </c>
      <c r="I2028" s="3" t="s">
        <v>7043</v>
      </c>
      <c r="J2028" s="3"/>
      <c r="K2028" s="3"/>
      <c r="L2028" s="5"/>
    </row>
    <row r="2029" spans="1:12" ht="28.8" x14ac:dyDescent="0.55000000000000004">
      <c r="A2029" s="9" t="str">
        <f>HYPERLINK("PDF\FOIA-FWS-2020-00724-0002028.pdf","FOIA-FWS-2020-00724-0002028")</f>
        <v>FOIA-FWS-2020-00724-0002028</v>
      </c>
      <c r="B2029" s="3" t="s">
        <v>3627</v>
      </c>
      <c r="C2029" s="3" t="s">
        <v>3</v>
      </c>
      <c r="D2029" s="3" t="s">
        <v>33</v>
      </c>
      <c r="E2029" s="3" t="s">
        <v>3628</v>
      </c>
      <c r="F2029" s="4">
        <v>43669.818749999999</v>
      </c>
      <c r="G2029" s="3" t="s">
        <v>872</v>
      </c>
      <c r="H2029" s="3" t="s">
        <v>945</v>
      </c>
      <c r="I2029" s="3" t="s">
        <v>7043</v>
      </c>
      <c r="J2029" s="3"/>
      <c r="K2029" s="3"/>
      <c r="L2029" s="5"/>
    </row>
    <row r="2030" spans="1:12" ht="28.8" x14ac:dyDescent="0.55000000000000004">
      <c r="A2030" s="9" t="str">
        <f>HYPERLINK("PDF\FOIA-FWS-2020-00724-0002029.pdf","FOIA-FWS-2020-00724-0002029")</f>
        <v>FOIA-FWS-2020-00724-0002029</v>
      </c>
      <c r="B2030" s="3" t="s">
        <v>3629</v>
      </c>
      <c r="C2030" s="3" t="s">
        <v>3</v>
      </c>
      <c r="D2030" s="3" t="s">
        <v>33</v>
      </c>
      <c r="E2030" s="3" t="s">
        <v>3630</v>
      </c>
      <c r="F2030" s="4">
        <v>43670</v>
      </c>
      <c r="G2030" s="3"/>
      <c r="H2030" s="3"/>
      <c r="I2030" s="3" t="s">
        <v>7043</v>
      </c>
      <c r="J2030" s="3"/>
      <c r="K2030" s="3"/>
      <c r="L2030" s="5"/>
    </row>
    <row r="2031" spans="1:12" ht="28.8" x14ac:dyDescent="0.55000000000000004">
      <c r="A2031" s="9" t="str">
        <f>HYPERLINK("PDF\FOIA-FWS-2020-00724-0002030.pdf","FOIA-FWS-2020-00724-0002030")</f>
        <v>FOIA-FWS-2020-00724-0002030</v>
      </c>
      <c r="B2031" s="3" t="s">
        <v>3631</v>
      </c>
      <c r="C2031" s="3" t="s">
        <v>3</v>
      </c>
      <c r="D2031" s="3" t="s">
        <v>33</v>
      </c>
      <c r="E2031" s="3" t="s">
        <v>3632</v>
      </c>
      <c r="F2031" s="4">
        <v>43670</v>
      </c>
      <c r="G2031" s="3"/>
      <c r="H2031" s="3"/>
      <c r="I2031" s="3" t="s">
        <v>7043</v>
      </c>
      <c r="J2031" s="3"/>
      <c r="K2031" s="3"/>
      <c r="L2031" s="5"/>
    </row>
    <row r="2032" spans="1:12" ht="28.8" x14ac:dyDescent="0.55000000000000004">
      <c r="A2032" s="9" t="str">
        <f>HYPERLINK("PDF\FOIA-FWS-2020-00724-0002031.pdf","FOIA-FWS-2020-00724-0002031")</f>
        <v>FOIA-FWS-2020-00724-0002031</v>
      </c>
      <c r="B2032" s="3" t="s">
        <v>3633</v>
      </c>
      <c r="C2032" s="3" t="s">
        <v>3</v>
      </c>
      <c r="D2032" s="3" t="s">
        <v>33</v>
      </c>
      <c r="E2032" s="3" t="s">
        <v>3635</v>
      </c>
      <c r="F2032" s="4">
        <v>43670.429861111108</v>
      </c>
      <c r="G2032" s="3" t="s">
        <v>919</v>
      </c>
      <c r="H2032" s="3" t="s">
        <v>3634</v>
      </c>
      <c r="I2032" s="3" t="s">
        <v>7043</v>
      </c>
      <c r="J2032" s="3"/>
      <c r="K2032" s="3"/>
      <c r="L2032" s="5"/>
    </row>
    <row r="2033" spans="1:12" ht="28.8" x14ac:dyDescent="0.55000000000000004">
      <c r="A2033" s="9" t="str">
        <f>HYPERLINK("PDF\FOIA-FWS-2020-00724-0002032.pdf","FOIA-FWS-2020-00724-0002032")</f>
        <v>FOIA-FWS-2020-00724-0002032</v>
      </c>
      <c r="B2033" s="3" t="s">
        <v>3636</v>
      </c>
      <c r="C2033" s="3" t="s">
        <v>3</v>
      </c>
      <c r="D2033" s="3" t="s">
        <v>33</v>
      </c>
      <c r="E2033" s="3" t="s">
        <v>3637</v>
      </c>
      <c r="F2033" s="4">
        <v>43670.548611111109</v>
      </c>
      <c r="G2033" s="3" t="s">
        <v>945</v>
      </c>
      <c r="H2033" s="3" t="s">
        <v>872</v>
      </c>
      <c r="I2033" s="3" t="s">
        <v>7043</v>
      </c>
      <c r="J2033" s="3"/>
      <c r="K2033" s="3"/>
      <c r="L2033" s="5"/>
    </row>
    <row r="2034" spans="1:12" ht="28.8" x14ac:dyDescent="0.55000000000000004">
      <c r="A2034" s="9" t="str">
        <f>HYPERLINK("PDF\FOIA-FWS-2020-00724-0002033.pdf","FOIA-FWS-2020-00724-0002033")</f>
        <v>FOIA-FWS-2020-00724-0002033</v>
      </c>
      <c r="B2034" s="3" t="s">
        <v>3638</v>
      </c>
      <c r="C2034" s="3" t="s">
        <v>3</v>
      </c>
      <c r="D2034" s="3" t="s">
        <v>33</v>
      </c>
      <c r="E2034" s="3" t="s">
        <v>3639</v>
      </c>
      <c r="F2034" s="4">
        <v>43670.557638888888</v>
      </c>
      <c r="G2034" s="3" t="s">
        <v>955</v>
      </c>
      <c r="H2034" s="3" t="s">
        <v>945</v>
      </c>
      <c r="I2034" s="3" t="s">
        <v>7043</v>
      </c>
      <c r="J2034" s="3"/>
      <c r="K2034" s="3"/>
      <c r="L2034" s="5"/>
    </row>
    <row r="2035" spans="1:12" ht="28.8" x14ac:dyDescent="0.55000000000000004">
      <c r="A2035" s="9" t="str">
        <f>HYPERLINK("PDF\FOIA-FWS-2020-00724-0002034.pdf","FOIA-FWS-2020-00724-0002034")</f>
        <v>FOIA-FWS-2020-00724-0002034</v>
      </c>
      <c r="B2035" s="3" t="s">
        <v>3640</v>
      </c>
      <c r="C2035" s="3" t="s">
        <v>3</v>
      </c>
      <c r="D2035" s="3" t="s">
        <v>33</v>
      </c>
      <c r="E2035" s="3" t="s">
        <v>3641</v>
      </c>
      <c r="F2035" s="4">
        <v>43670.576388888891</v>
      </c>
      <c r="G2035" s="3" t="s">
        <v>872</v>
      </c>
      <c r="H2035" s="3" t="s">
        <v>955</v>
      </c>
      <c r="I2035" s="3" t="s">
        <v>7043</v>
      </c>
      <c r="J2035" s="3"/>
      <c r="K2035" s="3"/>
      <c r="L2035" s="5"/>
    </row>
    <row r="2036" spans="1:12" ht="28.8" x14ac:dyDescent="0.55000000000000004">
      <c r="A2036" s="9" t="str">
        <f>HYPERLINK("PDF\FOIA-FWS-2020-00724-0002035.pdf","FOIA-FWS-2020-00724-0002035")</f>
        <v>FOIA-FWS-2020-00724-0002035</v>
      </c>
      <c r="B2036" s="3" t="s">
        <v>3642</v>
      </c>
      <c r="C2036" s="3" t="s">
        <v>3</v>
      </c>
      <c r="D2036" s="3" t="s">
        <v>33</v>
      </c>
      <c r="E2036" s="3" t="s">
        <v>3644</v>
      </c>
      <c r="F2036" s="4">
        <v>43670.642361111109</v>
      </c>
      <c r="G2036" s="3" t="s">
        <v>963</v>
      </c>
      <c r="H2036" s="3" t="s">
        <v>3643</v>
      </c>
      <c r="I2036" s="3" t="s">
        <v>7052</v>
      </c>
      <c r="J2036" s="3" t="s">
        <v>7046</v>
      </c>
      <c r="K2036" s="3" t="s">
        <v>7036</v>
      </c>
      <c r="L2036" s="5"/>
    </row>
    <row r="2037" spans="1:12" ht="28.8" x14ac:dyDescent="0.55000000000000004">
      <c r="A2037" s="9" t="str">
        <f>HYPERLINK("PDF\FOIA-FWS-2020-00724-0002036.pdf","FOIA-FWS-2020-00724-0002036")</f>
        <v>FOIA-FWS-2020-00724-0002036</v>
      </c>
      <c r="B2037" s="3" t="s">
        <v>3642</v>
      </c>
      <c r="C2037" s="3" t="s">
        <v>234</v>
      </c>
      <c r="D2037" s="3" t="s">
        <v>33</v>
      </c>
      <c r="E2037" s="3" t="s">
        <v>3645</v>
      </c>
      <c r="F2037" s="4">
        <v>43670.642361111109</v>
      </c>
      <c r="G2037" s="3"/>
      <c r="H2037" s="3"/>
      <c r="I2037" s="3" t="s">
        <v>7043</v>
      </c>
      <c r="J2037" s="3"/>
      <c r="K2037" s="3"/>
      <c r="L2037" s="5"/>
    </row>
    <row r="2038" spans="1:12" ht="28.8" x14ac:dyDescent="0.55000000000000004">
      <c r="A2038" s="9" t="str">
        <f>HYPERLINK("PDF\FOIA-FWS-2020-00724-0002037.pdf","FOIA-FWS-2020-00724-0002037")</f>
        <v>FOIA-FWS-2020-00724-0002037</v>
      </c>
      <c r="B2038" s="3" t="s">
        <v>3646</v>
      </c>
      <c r="C2038" s="3" t="s">
        <v>3</v>
      </c>
      <c r="D2038" s="3" t="s">
        <v>33</v>
      </c>
      <c r="E2038" s="3" t="s">
        <v>3647</v>
      </c>
      <c r="F2038" s="4">
        <v>43670.806250000001</v>
      </c>
      <c r="G2038" s="3" t="s">
        <v>1628</v>
      </c>
      <c r="H2038" s="3" t="s">
        <v>2081</v>
      </c>
      <c r="I2038" s="3" t="s">
        <v>7052</v>
      </c>
      <c r="J2038" s="3" t="s">
        <v>7046</v>
      </c>
      <c r="K2038" s="3" t="s">
        <v>7036</v>
      </c>
      <c r="L2038" s="5"/>
    </row>
    <row r="2039" spans="1:12" ht="28.8" x14ac:dyDescent="0.55000000000000004">
      <c r="A2039" s="9" t="str">
        <f>HYPERLINK("PDF\FOIA-FWS-2020-00724-0002038.pdf","FOIA-FWS-2020-00724-0002038")</f>
        <v>FOIA-FWS-2020-00724-0002038</v>
      </c>
      <c r="B2039" s="3" t="s">
        <v>3648</v>
      </c>
      <c r="C2039" s="3" t="s">
        <v>3</v>
      </c>
      <c r="D2039" s="3" t="s">
        <v>33</v>
      </c>
      <c r="E2039" s="3" t="s">
        <v>3649</v>
      </c>
      <c r="F2039" s="4">
        <v>43671</v>
      </c>
      <c r="G2039" s="3"/>
      <c r="H2039" s="3"/>
      <c r="I2039" s="3" t="s">
        <v>7043</v>
      </c>
      <c r="J2039" s="3"/>
      <c r="K2039" s="3"/>
      <c r="L2039" s="5"/>
    </row>
    <row r="2040" spans="1:12" ht="57.6" x14ac:dyDescent="0.55000000000000004">
      <c r="A2040" s="9" t="str">
        <f>HYPERLINK("PDF\FOIA-FWS-2020-00724-0002039.pdf","FOIA-FWS-2020-00724-0002039")</f>
        <v>FOIA-FWS-2020-00724-0002039</v>
      </c>
      <c r="B2040" s="3" t="s">
        <v>3650</v>
      </c>
      <c r="C2040" s="3" t="s">
        <v>3</v>
      </c>
      <c r="D2040" s="3" t="s">
        <v>33</v>
      </c>
      <c r="E2040" s="3" t="s">
        <v>3652</v>
      </c>
      <c r="F2040" s="4">
        <v>43671</v>
      </c>
      <c r="G2040" s="3" t="s">
        <v>2007</v>
      </c>
      <c r="H2040" s="3" t="s">
        <v>3651</v>
      </c>
      <c r="I2040" s="3" t="s">
        <v>7043</v>
      </c>
      <c r="J2040" s="3"/>
      <c r="K2040" s="3"/>
      <c r="L2040" s="5"/>
    </row>
    <row r="2041" spans="1:12" ht="28.8" x14ac:dyDescent="0.55000000000000004">
      <c r="A2041" s="9" t="str">
        <f>HYPERLINK("PDF\FOIA-FWS-2020-00724-0002040.pdf","FOIA-FWS-2020-00724-0002040")</f>
        <v>FOIA-FWS-2020-00724-0002040</v>
      </c>
      <c r="B2041" s="3" t="s">
        <v>3653</v>
      </c>
      <c r="C2041" s="3" t="s">
        <v>3</v>
      </c>
      <c r="D2041" s="3" t="s">
        <v>33</v>
      </c>
      <c r="E2041" s="3" t="s">
        <v>3654</v>
      </c>
      <c r="F2041" s="4">
        <v>43671</v>
      </c>
      <c r="G2041" s="3"/>
      <c r="H2041" s="3"/>
      <c r="I2041" s="3" t="s">
        <v>7043</v>
      </c>
      <c r="J2041" s="3"/>
      <c r="K2041" s="3"/>
      <c r="L2041" s="5"/>
    </row>
    <row r="2042" spans="1:12" ht="28.8" x14ac:dyDescent="0.55000000000000004">
      <c r="A2042" s="9" t="str">
        <f>HYPERLINK("PDF\FOIA-FWS-2020-00724-0002041.pdf","FOIA-FWS-2020-00724-0002041")</f>
        <v>FOIA-FWS-2020-00724-0002041</v>
      </c>
      <c r="B2042" s="3" t="s">
        <v>3655</v>
      </c>
      <c r="C2042" s="3" t="s">
        <v>3</v>
      </c>
      <c r="D2042" s="3" t="s">
        <v>33</v>
      </c>
      <c r="E2042" s="3" t="s">
        <v>3647</v>
      </c>
      <c r="F2042" s="4">
        <v>43671.711111111108</v>
      </c>
      <c r="G2042" s="3" t="s">
        <v>963</v>
      </c>
      <c r="H2042" s="3" t="s">
        <v>1628</v>
      </c>
      <c r="I2042" s="3" t="s">
        <v>7052</v>
      </c>
      <c r="J2042" s="3" t="s">
        <v>7046</v>
      </c>
      <c r="K2042" s="3" t="s">
        <v>7036</v>
      </c>
      <c r="L2042" s="5"/>
    </row>
    <row r="2043" spans="1:12" ht="28.8" x14ac:dyDescent="0.55000000000000004">
      <c r="A2043" s="9" t="str">
        <f>HYPERLINK("PDF\FOIA-FWS-2020-00724-0002042.pdf","FOIA-FWS-2020-00724-0002042")</f>
        <v>FOIA-FWS-2020-00724-0002042</v>
      </c>
      <c r="B2043" s="3" t="s">
        <v>3656</v>
      </c>
      <c r="C2043" s="3" t="s">
        <v>3</v>
      </c>
      <c r="D2043" s="3" t="s">
        <v>33</v>
      </c>
      <c r="E2043" s="3" t="s">
        <v>3658</v>
      </c>
      <c r="F2043" s="4">
        <v>43671.729166666664</v>
      </c>
      <c r="G2043" s="3" t="s">
        <v>963</v>
      </c>
      <c r="H2043" s="3" t="s">
        <v>3657</v>
      </c>
      <c r="I2043" s="3" t="s">
        <v>7043</v>
      </c>
      <c r="J2043" s="3"/>
      <c r="K2043" s="3"/>
      <c r="L2043" s="5"/>
    </row>
    <row r="2044" spans="1:12" ht="28.8" x14ac:dyDescent="0.55000000000000004">
      <c r="A2044" s="9" t="str">
        <f>HYPERLINK("PDF\FOIA-FWS-2020-00724-0002043.pdf","FOIA-FWS-2020-00724-0002043")</f>
        <v>FOIA-FWS-2020-00724-0002043</v>
      </c>
      <c r="B2044" s="3" t="s">
        <v>3656</v>
      </c>
      <c r="C2044" s="3" t="s">
        <v>234</v>
      </c>
      <c r="D2044" s="3" t="s">
        <v>33</v>
      </c>
      <c r="E2044" s="3" t="s">
        <v>3659</v>
      </c>
      <c r="F2044" s="4">
        <v>43671.729166666664</v>
      </c>
      <c r="G2044" s="3"/>
      <c r="H2044" s="3"/>
      <c r="I2044" s="3" t="s">
        <v>7043</v>
      </c>
      <c r="J2044" s="3"/>
      <c r="K2044" s="3"/>
      <c r="L2044" s="5"/>
    </row>
    <row r="2045" spans="1:12" ht="28.8" x14ac:dyDescent="0.55000000000000004">
      <c r="A2045" s="9" t="str">
        <f>HYPERLINK("PDF\FOIA-FWS-2020-00724-0002044.pdf","FOIA-FWS-2020-00724-0002044")</f>
        <v>FOIA-FWS-2020-00724-0002044</v>
      </c>
      <c r="B2045" s="3" t="s">
        <v>3656</v>
      </c>
      <c r="C2045" s="3" t="s">
        <v>234</v>
      </c>
      <c r="D2045" s="3" t="s">
        <v>33</v>
      </c>
      <c r="E2045" s="3" t="s">
        <v>3660</v>
      </c>
      <c r="F2045" s="4">
        <v>43671.729166666664</v>
      </c>
      <c r="G2045" s="3"/>
      <c r="H2045" s="3"/>
      <c r="I2045" s="3" t="s">
        <v>7043</v>
      </c>
      <c r="J2045" s="3"/>
      <c r="K2045" s="3"/>
      <c r="L2045" s="5"/>
    </row>
    <row r="2046" spans="1:12" ht="28.8" x14ac:dyDescent="0.55000000000000004">
      <c r="A2046" s="9" t="str">
        <f>HYPERLINK("PDF\FOIA-FWS-2020-00724-0002045.pdf","FOIA-FWS-2020-00724-0002045")</f>
        <v>FOIA-FWS-2020-00724-0002045</v>
      </c>
      <c r="B2046" s="3" t="s">
        <v>3661</v>
      </c>
      <c r="C2046" s="3" t="s">
        <v>3</v>
      </c>
      <c r="D2046" s="3" t="s">
        <v>4</v>
      </c>
      <c r="E2046" s="3" t="s">
        <v>3662</v>
      </c>
      <c r="F2046" s="4">
        <v>43672</v>
      </c>
      <c r="G2046" s="3"/>
      <c r="H2046" s="3"/>
      <c r="I2046" s="3" t="s">
        <v>7043</v>
      </c>
      <c r="J2046" s="3"/>
      <c r="K2046" s="3"/>
      <c r="L2046" s="5"/>
    </row>
    <row r="2047" spans="1:12" ht="28.8" x14ac:dyDescent="0.55000000000000004">
      <c r="A2047" s="9" t="str">
        <f>HYPERLINK("PDF\FOIA-FWS-2020-00724-0002046.pdf","FOIA-FWS-2020-00724-0002046")</f>
        <v>FOIA-FWS-2020-00724-0002046</v>
      </c>
      <c r="B2047" s="3" t="s">
        <v>3663</v>
      </c>
      <c r="C2047" s="3" t="s">
        <v>3</v>
      </c>
      <c r="D2047" s="3" t="s">
        <v>33</v>
      </c>
      <c r="E2047" s="3" t="s">
        <v>3664</v>
      </c>
      <c r="F2047" s="4">
        <v>43675</v>
      </c>
      <c r="G2047" s="3"/>
      <c r="H2047" s="3"/>
      <c r="I2047" s="3" t="s">
        <v>7043</v>
      </c>
      <c r="J2047" s="3"/>
      <c r="K2047" s="3"/>
      <c r="L2047" s="5"/>
    </row>
    <row r="2048" spans="1:12" ht="28.8" x14ac:dyDescent="0.55000000000000004">
      <c r="A2048" s="9" t="str">
        <f>HYPERLINK("PDF\FOIA-FWS-2020-00724-0002047.pdf","FOIA-FWS-2020-00724-0002047")</f>
        <v>FOIA-FWS-2020-00724-0002047</v>
      </c>
      <c r="B2048" s="3" t="s">
        <v>3665</v>
      </c>
      <c r="C2048" s="3" t="s">
        <v>3</v>
      </c>
      <c r="D2048" s="3" t="s">
        <v>33</v>
      </c>
      <c r="E2048" s="3" t="s">
        <v>3666</v>
      </c>
      <c r="F2048" s="4">
        <v>43675.477083333331</v>
      </c>
      <c r="G2048" s="3" t="s">
        <v>945</v>
      </c>
      <c r="H2048" s="3" t="s">
        <v>963</v>
      </c>
      <c r="I2048" s="3" t="s">
        <v>7043</v>
      </c>
      <c r="J2048" s="3"/>
      <c r="K2048" s="3"/>
      <c r="L2048" s="5"/>
    </row>
    <row r="2049" spans="1:12" ht="28.8" x14ac:dyDescent="0.55000000000000004">
      <c r="A2049" s="9" t="str">
        <f>HYPERLINK("PDF\FOIA-FWS-2020-00724-0002048.pdf","FOIA-FWS-2020-00724-0002048")</f>
        <v>FOIA-FWS-2020-00724-0002048</v>
      </c>
      <c r="B2049" s="3" t="s">
        <v>3665</v>
      </c>
      <c r="C2049" s="3" t="s">
        <v>234</v>
      </c>
      <c r="D2049" s="3" t="s">
        <v>33</v>
      </c>
      <c r="E2049" s="3" t="s">
        <v>3667</v>
      </c>
      <c r="F2049" s="4">
        <v>43675.477083333331</v>
      </c>
      <c r="G2049" s="3"/>
      <c r="H2049" s="3"/>
      <c r="I2049" s="3" t="s">
        <v>7043</v>
      </c>
      <c r="J2049" s="3"/>
      <c r="K2049" s="3"/>
      <c r="L2049" s="5"/>
    </row>
    <row r="2050" spans="1:12" ht="28.8" x14ac:dyDescent="0.55000000000000004">
      <c r="A2050" s="9" t="str">
        <f>HYPERLINK("PDF\FOIA-FWS-2020-00724-0002049.pdf","FOIA-FWS-2020-00724-0002049")</f>
        <v>FOIA-FWS-2020-00724-0002049</v>
      </c>
      <c r="B2050" s="3" t="s">
        <v>3668</v>
      </c>
      <c r="C2050" s="3" t="s">
        <v>3</v>
      </c>
      <c r="D2050" s="3" t="s">
        <v>33</v>
      </c>
      <c r="E2050" s="3" t="s">
        <v>3666</v>
      </c>
      <c r="F2050" s="4">
        <v>43676.73333333333</v>
      </c>
      <c r="G2050" s="3" t="s">
        <v>945</v>
      </c>
      <c r="H2050" s="3" t="s">
        <v>963</v>
      </c>
      <c r="I2050" s="3" t="s">
        <v>7043</v>
      </c>
      <c r="J2050" s="3"/>
      <c r="K2050" s="3"/>
      <c r="L2050" s="5"/>
    </row>
    <row r="2051" spans="1:12" ht="28.8" x14ac:dyDescent="0.55000000000000004">
      <c r="A2051" s="9" t="str">
        <f>HYPERLINK("PDF\FOIA-FWS-2020-00724-0002050.pdf","FOIA-FWS-2020-00724-0002050")</f>
        <v>FOIA-FWS-2020-00724-0002050</v>
      </c>
      <c r="B2051" s="3" t="s">
        <v>3669</v>
      </c>
      <c r="C2051" s="3" t="s">
        <v>3</v>
      </c>
      <c r="D2051" s="3" t="s">
        <v>33</v>
      </c>
      <c r="E2051" s="3" t="s">
        <v>3670</v>
      </c>
      <c r="F2051" s="4">
        <v>43677</v>
      </c>
      <c r="G2051" s="3"/>
      <c r="H2051" s="3"/>
      <c r="I2051" s="3" t="s">
        <v>7043</v>
      </c>
      <c r="J2051" s="3"/>
      <c r="K2051" s="3"/>
      <c r="L2051" s="5"/>
    </row>
    <row r="2052" spans="1:12" ht="28.8" x14ac:dyDescent="0.55000000000000004">
      <c r="A2052" s="9" t="str">
        <f>HYPERLINK("PDF\FOIA-FWS-2020-00724-0002051.pdf","FOIA-FWS-2020-00724-0002051")</f>
        <v>FOIA-FWS-2020-00724-0002051</v>
      </c>
      <c r="B2052" s="3" t="s">
        <v>3671</v>
      </c>
      <c r="C2052" s="3" t="s">
        <v>3</v>
      </c>
      <c r="D2052" s="3" t="s">
        <v>33</v>
      </c>
      <c r="E2052" s="3" t="s">
        <v>3672</v>
      </c>
      <c r="F2052" s="4">
        <v>43677</v>
      </c>
      <c r="G2052" s="3"/>
      <c r="H2052" s="3"/>
      <c r="I2052" s="3" t="s">
        <v>7043</v>
      </c>
      <c r="J2052" s="3"/>
      <c r="K2052" s="3"/>
      <c r="L2052" s="5"/>
    </row>
    <row r="2053" spans="1:12" ht="28.8" x14ac:dyDescent="0.55000000000000004">
      <c r="A2053" s="9" t="str">
        <f>HYPERLINK("PDF\FOIA-FWS-2020-00724-0002052.pdf","FOIA-FWS-2020-00724-0002052")</f>
        <v>FOIA-FWS-2020-00724-0002052</v>
      </c>
      <c r="B2053" s="3" t="s">
        <v>3673</v>
      </c>
      <c r="C2053" s="3" t="s">
        <v>3</v>
      </c>
      <c r="D2053" s="3" t="s">
        <v>33</v>
      </c>
      <c r="E2053" s="3" t="s">
        <v>3674</v>
      </c>
      <c r="F2053" s="4">
        <v>43677.743750000001</v>
      </c>
      <c r="G2053" s="3" t="s">
        <v>945</v>
      </c>
      <c r="H2053" s="3" t="s">
        <v>2081</v>
      </c>
      <c r="I2053" s="3" t="s">
        <v>7043</v>
      </c>
      <c r="J2053" s="3"/>
      <c r="K2053" s="3"/>
      <c r="L2053" s="5"/>
    </row>
    <row r="2054" spans="1:12" ht="28.8" x14ac:dyDescent="0.55000000000000004">
      <c r="A2054" s="9" t="str">
        <f>HYPERLINK("PDF\FOIA-FWS-2020-00724-0002053.pdf","FOIA-FWS-2020-00724-0002053")</f>
        <v>FOIA-FWS-2020-00724-0002053</v>
      </c>
      <c r="B2054" s="3" t="s">
        <v>3673</v>
      </c>
      <c r="C2054" s="3" t="s">
        <v>234</v>
      </c>
      <c r="D2054" s="3" t="s">
        <v>33</v>
      </c>
      <c r="E2054" s="3" t="s">
        <v>3675</v>
      </c>
      <c r="F2054" s="4">
        <v>43677.743750000001</v>
      </c>
      <c r="G2054" s="3"/>
      <c r="H2054" s="3"/>
      <c r="I2054" s="3" t="s">
        <v>7043</v>
      </c>
      <c r="J2054" s="3"/>
      <c r="K2054" s="3"/>
      <c r="L2054" s="5"/>
    </row>
    <row r="2055" spans="1:12" ht="28.8" x14ac:dyDescent="0.55000000000000004">
      <c r="A2055" s="9" t="str">
        <f>HYPERLINK("PDF\FOIA-FWS-2020-00724-0002054.pdf","FOIA-FWS-2020-00724-0002054")</f>
        <v>FOIA-FWS-2020-00724-0002054</v>
      </c>
      <c r="B2055" s="3" t="s">
        <v>3676</v>
      </c>
      <c r="C2055" s="3" t="s">
        <v>3</v>
      </c>
      <c r="D2055" s="3" t="s">
        <v>33</v>
      </c>
      <c r="E2055" s="3" t="s">
        <v>3678</v>
      </c>
      <c r="F2055" s="4">
        <v>43677.76666666667</v>
      </c>
      <c r="G2055" s="3" t="s">
        <v>963</v>
      </c>
      <c r="H2055" s="3" t="s">
        <v>3677</v>
      </c>
      <c r="I2055" s="3" t="s">
        <v>7043</v>
      </c>
      <c r="J2055" s="3"/>
      <c r="K2055" s="3"/>
      <c r="L2055" s="5"/>
    </row>
    <row r="2056" spans="1:12" ht="28.8" x14ac:dyDescent="0.55000000000000004">
      <c r="A2056" s="9" t="str">
        <f>HYPERLINK("PDF\FOIA-FWS-2020-00724-0002055.pdf","FOIA-FWS-2020-00724-0002055")</f>
        <v>FOIA-FWS-2020-00724-0002055</v>
      </c>
      <c r="B2056" s="3" t="s">
        <v>3679</v>
      </c>
      <c r="C2056" s="3" t="s">
        <v>3</v>
      </c>
      <c r="D2056" s="3" t="s">
        <v>33</v>
      </c>
      <c r="E2056" s="3" t="s">
        <v>3680</v>
      </c>
      <c r="F2056" s="4">
        <v>43677.773611111108</v>
      </c>
      <c r="G2056" s="3" t="s">
        <v>963</v>
      </c>
      <c r="H2056" s="3" t="s">
        <v>1688</v>
      </c>
      <c r="I2056" s="3" t="s">
        <v>7043</v>
      </c>
      <c r="J2056" s="3"/>
      <c r="K2056" s="3"/>
      <c r="L2056" s="5"/>
    </row>
    <row r="2057" spans="1:12" ht="28.8" x14ac:dyDescent="0.55000000000000004">
      <c r="A2057" s="9" t="str">
        <f>HYPERLINK("PDF\FOIA-FWS-2020-00724-0002056.pdf","FOIA-FWS-2020-00724-0002056")</f>
        <v>FOIA-FWS-2020-00724-0002056</v>
      </c>
      <c r="B2057" s="3" t="s">
        <v>3681</v>
      </c>
      <c r="C2057" s="3" t="s">
        <v>3</v>
      </c>
      <c r="D2057" s="3" t="s">
        <v>33</v>
      </c>
      <c r="E2057" s="3" t="s">
        <v>3682</v>
      </c>
      <c r="F2057" s="4">
        <v>43678</v>
      </c>
      <c r="G2057" s="3"/>
      <c r="H2057" s="3"/>
      <c r="I2057" s="3" t="s">
        <v>7043</v>
      </c>
      <c r="J2057" s="3"/>
      <c r="K2057" s="3"/>
      <c r="L2057" s="5"/>
    </row>
    <row r="2058" spans="1:12" ht="28.8" x14ac:dyDescent="0.55000000000000004">
      <c r="A2058" s="9" t="str">
        <f>HYPERLINK("PDF\FOIA-FWS-2020-00724-0002057.pdf","FOIA-FWS-2020-00724-0002057")</f>
        <v>FOIA-FWS-2020-00724-0002057</v>
      </c>
      <c r="B2058" s="3" t="s">
        <v>3683</v>
      </c>
      <c r="C2058" s="3" t="s">
        <v>3</v>
      </c>
      <c r="D2058" s="3" t="s">
        <v>4</v>
      </c>
      <c r="E2058" s="3" t="s">
        <v>3684</v>
      </c>
      <c r="F2058" s="4">
        <v>43678</v>
      </c>
      <c r="G2058" s="3"/>
      <c r="H2058" s="3"/>
      <c r="I2058" s="3" t="s">
        <v>7043</v>
      </c>
      <c r="J2058" s="3"/>
      <c r="K2058" s="3"/>
      <c r="L2058" s="5"/>
    </row>
    <row r="2059" spans="1:12" ht="28.8" x14ac:dyDescent="0.55000000000000004">
      <c r="A2059" s="9" t="str">
        <f>HYPERLINK("PDF\FOIA-FWS-2020-00724-0002058.pdf","FOIA-FWS-2020-00724-0002058")</f>
        <v>FOIA-FWS-2020-00724-0002058</v>
      </c>
      <c r="B2059" s="3" t="s">
        <v>3685</v>
      </c>
      <c r="C2059" s="3" t="s">
        <v>3</v>
      </c>
      <c r="D2059" s="3" t="s">
        <v>33</v>
      </c>
      <c r="E2059" s="3" t="s">
        <v>3686</v>
      </c>
      <c r="F2059" s="4">
        <v>43678.575694444444</v>
      </c>
      <c r="G2059" s="3" t="s">
        <v>3468</v>
      </c>
      <c r="H2059" s="3" t="s">
        <v>1797</v>
      </c>
      <c r="I2059" s="3" t="s">
        <v>7043</v>
      </c>
      <c r="J2059" s="3"/>
      <c r="K2059" s="3"/>
      <c r="L2059" s="5"/>
    </row>
    <row r="2060" spans="1:12" ht="28.8" x14ac:dyDescent="0.55000000000000004">
      <c r="A2060" s="9" t="str">
        <f>HYPERLINK("PDF\FOIA-FWS-2020-00724-0002059.pdf","FOIA-FWS-2020-00724-0002059")</f>
        <v>FOIA-FWS-2020-00724-0002059</v>
      </c>
      <c r="B2060" s="3" t="s">
        <v>3685</v>
      </c>
      <c r="C2060" s="3" t="s">
        <v>234</v>
      </c>
      <c r="D2060" s="3" t="s">
        <v>33</v>
      </c>
      <c r="E2060" s="3" t="s">
        <v>3687</v>
      </c>
      <c r="F2060" s="4">
        <v>43678.575694444444</v>
      </c>
      <c r="G2060" s="3"/>
      <c r="H2060" s="3"/>
      <c r="I2060" s="3" t="s">
        <v>7043</v>
      </c>
      <c r="J2060" s="3"/>
      <c r="K2060" s="3"/>
      <c r="L2060" s="5"/>
    </row>
    <row r="2061" spans="1:12" ht="28.8" x14ac:dyDescent="0.55000000000000004">
      <c r="A2061" s="9" t="str">
        <f>HYPERLINK("PDF\FOIA-FWS-2020-00724-0002060.pdf","FOIA-FWS-2020-00724-0002060")</f>
        <v>FOIA-FWS-2020-00724-0002060</v>
      </c>
      <c r="B2061" s="3" t="s">
        <v>3688</v>
      </c>
      <c r="C2061" s="3" t="s">
        <v>3</v>
      </c>
      <c r="D2061" s="3" t="s">
        <v>33</v>
      </c>
      <c r="E2061" s="3" t="s">
        <v>3680</v>
      </c>
      <c r="F2061" s="4">
        <v>43678.781944444447</v>
      </c>
      <c r="G2061" s="3" t="s">
        <v>1688</v>
      </c>
      <c r="H2061" s="3" t="s">
        <v>3689</v>
      </c>
      <c r="I2061" s="3" t="s">
        <v>7043</v>
      </c>
      <c r="J2061" s="3"/>
      <c r="K2061" s="3"/>
      <c r="L2061" s="5"/>
    </row>
    <row r="2062" spans="1:12" ht="28.8" x14ac:dyDescent="0.55000000000000004">
      <c r="A2062" s="9" t="str">
        <f>HYPERLINK("PDF\FOIA-FWS-2020-00724-0002061.pdf","FOIA-FWS-2020-00724-0002061")</f>
        <v>FOIA-FWS-2020-00724-0002061</v>
      </c>
      <c r="B2062" s="3" t="s">
        <v>3690</v>
      </c>
      <c r="C2062" s="3" t="s">
        <v>3</v>
      </c>
      <c r="D2062" s="3" t="s">
        <v>33</v>
      </c>
      <c r="E2062" s="3" t="s">
        <v>3691</v>
      </c>
      <c r="F2062" s="4">
        <v>43678.797222222223</v>
      </c>
      <c r="G2062" s="3" t="s">
        <v>963</v>
      </c>
      <c r="H2062" s="3" t="s">
        <v>945</v>
      </c>
      <c r="I2062" s="3" t="s">
        <v>7043</v>
      </c>
      <c r="J2062" s="3"/>
      <c r="K2062" s="3"/>
      <c r="L2062" s="5"/>
    </row>
    <row r="2063" spans="1:12" ht="28.8" x14ac:dyDescent="0.55000000000000004">
      <c r="A2063" s="9" t="str">
        <f>HYPERLINK("PDF\FOIA-FWS-2020-00724-0002062.pdf","FOIA-FWS-2020-00724-0002062")</f>
        <v>FOIA-FWS-2020-00724-0002062</v>
      </c>
      <c r="B2063" s="3" t="s">
        <v>3690</v>
      </c>
      <c r="C2063" s="3" t="s">
        <v>234</v>
      </c>
      <c r="D2063" s="3" t="s">
        <v>33</v>
      </c>
      <c r="E2063" s="3" t="s">
        <v>3692</v>
      </c>
      <c r="F2063" s="4">
        <v>43678.797222222223</v>
      </c>
      <c r="G2063" s="3"/>
      <c r="H2063" s="3"/>
      <c r="I2063" s="3" t="s">
        <v>7043</v>
      </c>
      <c r="J2063" s="3"/>
      <c r="K2063" s="3"/>
      <c r="L2063" s="5"/>
    </row>
    <row r="2064" spans="1:12" ht="28.8" x14ac:dyDescent="0.55000000000000004">
      <c r="A2064" s="9" t="str">
        <f>HYPERLINK("PDF\FOIA-FWS-2020-00724-0002063.pdf","FOIA-FWS-2020-00724-0002063")</f>
        <v>FOIA-FWS-2020-00724-0002063</v>
      </c>
      <c r="B2064" s="3" t="s">
        <v>3693</v>
      </c>
      <c r="C2064" s="3" t="s">
        <v>3</v>
      </c>
      <c r="D2064" s="3" t="s">
        <v>33</v>
      </c>
      <c r="E2064" s="3" t="s">
        <v>3694</v>
      </c>
      <c r="F2064" s="4">
        <v>43678.835416666669</v>
      </c>
      <c r="G2064" s="3" t="s">
        <v>1060</v>
      </c>
      <c r="H2064" s="3" t="s">
        <v>2081</v>
      </c>
      <c r="I2064" s="3" t="s">
        <v>7043</v>
      </c>
      <c r="J2064" s="3"/>
      <c r="K2064" s="3"/>
      <c r="L2064" s="5"/>
    </row>
    <row r="2065" spans="1:12" ht="28.8" x14ac:dyDescent="0.55000000000000004">
      <c r="A2065" s="9" t="str">
        <f>HYPERLINK("PDF\FOIA-FWS-2020-00724-0002064.pdf","FOIA-FWS-2020-00724-0002064")</f>
        <v>FOIA-FWS-2020-00724-0002064</v>
      </c>
      <c r="B2065" s="3" t="s">
        <v>3695</v>
      </c>
      <c r="C2065" s="3" t="s">
        <v>3</v>
      </c>
      <c r="D2065" s="3" t="s">
        <v>33</v>
      </c>
      <c r="E2065" s="3" t="s">
        <v>3697</v>
      </c>
      <c r="F2065" s="4">
        <v>43679.537499999999</v>
      </c>
      <c r="G2065" s="3" t="s">
        <v>945</v>
      </c>
      <c r="H2065" s="3" t="s">
        <v>3696</v>
      </c>
      <c r="I2065" s="3" t="s">
        <v>7043</v>
      </c>
      <c r="J2065" s="3"/>
      <c r="K2065" s="3"/>
      <c r="L2065" s="5"/>
    </row>
    <row r="2066" spans="1:12" ht="28.8" x14ac:dyDescent="0.55000000000000004">
      <c r="A2066" s="9" t="str">
        <f>HYPERLINK("PDF\FOIA-FWS-2020-00724-0002065.pdf","FOIA-FWS-2020-00724-0002065")</f>
        <v>FOIA-FWS-2020-00724-0002065</v>
      </c>
      <c r="B2066" s="3" t="s">
        <v>3695</v>
      </c>
      <c r="C2066" s="3" t="s">
        <v>234</v>
      </c>
      <c r="D2066" s="3" t="s">
        <v>33</v>
      </c>
      <c r="E2066" s="3" t="s">
        <v>3698</v>
      </c>
      <c r="F2066" s="4">
        <v>43679.537499999999</v>
      </c>
      <c r="G2066" s="3"/>
      <c r="H2066" s="3"/>
      <c r="I2066" s="3" t="s">
        <v>7043</v>
      </c>
      <c r="J2066" s="3"/>
      <c r="K2066" s="3"/>
      <c r="L2066" s="5"/>
    </row>
    <row r="2067" spans="1:12" ht="28.8" x14ac:dyDescent="0.55000000000000004">
      <c r="A2067" s="9" t="str">
        <f>HYPERLINK("PDF\FOIA-FWS-2020-00724-0002066.pdf","FOIA-FWS-2020-00724-0002066")</f>
        <v>FOIA-FWS-2020-00724-0002066</v>
      </c>
      <c r="B2067" s="3" t="s">
        <v>3699</v>
      </c>
      <c r="C2067" s="3" t="s">
        <v>3</v>
      </c>
      <c r="D2067" s="3" t="s">
        <v>33</v>
      </c>
      <c r="E2067" s="3" t="s">
        <v>3700</v>
      </c>
      <c r="F2067" s="4">
        <v>43679.564583333333</v>
      </c>
      <c r="G2067" s="3" t="s">
        <v>945</v>
      </c>
      <c r="H2067" s="3" t="s">
        <v>3696</v>
      </c>
      <c r="I2067" s="3" t="s">
        <v>7043</v>
      </c>
      <c r="J2067" s="3"/>
      <c r="K2067" s="3"/>
      <c r="L2067" s="5"/>
    </row>
    <row r="2068" spans="1:12" ht="28.8" x14ac:dyDescent="0.55000000000000004">
      <c r="A2068" s="9" t="str">
        <f>HYPERLINK("PDF\FOIA-FWS-2020-00724-0002067.pdf","FOIA-FWS-2020-00724-0002067")</f>
        <v>FOIA-FWS-2020-00724-0002067</v>
      </c>
      <c r="B2068" s="3" t="s">
        <v>3699</v>
      </c>
      <c r="C2068" s="3" t="s">
        <v>234</v>
      </c>
      <c r="D2068" s="3" t="s">
        <v>33</v>
      </c>
      <c r="E2068" s="3" t="s">
        <v>3701</v>
      </c>
      <c r="F2068" s="4">
        <v>43679.564583333333</v>
      </c>
      <c r="G2068" s="3"/>
      <c r="H2068" s="3"/>
      <c r="I2068" s="3" t="s">
        <v>7043</v>
      </c>
      <c r="J2068" s="3"/>
      <c r="K2068" s="3"/>
      <c r="L2068" s="5"/>
    </row>
    <row r="2069" spans="1:12" ht="28.8" x14ac:dyDescent="0.55000000000000004">
      <c r="A2069" s="9" t="str">
        <f>HYPERLINK("PDF\FOIA-FWS-2020-00724-0002068.pdf","FOIA-FWS-2020-00724-0002068")</f>
        <v>FOIA-FWS-2020-00724-0002068</v>
      </c>
      <c r="B2069" s="3" t="s">
        <v>3702</v>
      </c>
      <c r="C2069" s="3" t="s">
        <v>3</v>
      </c>
      <c r="D2069" s="3" t="s">
        <v>33</v>
      </c>
      <c r="E2069" s="3" t="s">
        <v>3700</v>
      </c>
      <c r="F2069" s="4">
        <v>43679.625</v>
      </c>
      <c r="G2069" s="3" t="s">
        <v>1060</v>
      </c>
      <c r="H2069" s="3" t="s">
        <v>945</v>
      </c>
      <c r="I2069" s="3" t="s">
        <v>7043</v>
      </c>
      <c r="J2069" s="3"/>
      <c r="K2069" s="3"/>
      <c r="L2069" s="5"/>
    </row>
    <row r="2070" spans="1:12" ht="28.8" x14ac:dyDescent="0.55000000000000004">
      <c r="A2070" s="9" t="str">
        <f>HYPERLINK("PDF\FOIA-FWS-2020-00724-0002069.pdf","FOIA-FWS-2020-00724-0002069")</f>
        <v>FOIA-FWS-2020-00724-0002069</v>
      </c>
      <c r="B2070" s="3" t="s">
        <v>3703</v>
      </c>
      <c r="C2070" s="3" t="s">
        <v>3</v>
      </c>
      <c r="D2070" s="3" t="s">
        <v>33</v>
      </c>
      <c r="E2070" s="3" t="s">
        <v>3704</v>
      </c>
      <c r="F2070" s="4">
        <v>43682</v>
      </c>
      <c r="G2070" s="3"/>
      <c r="H2070" s="3"/>
      <c r="I2070" s="3" t="s">
        <v>7043</v>
      </c>
      <c r="J2070" s="3"/>
      <c r="K2070" s="3"/>
      <c r="L2070" s="5"/>
    </row>
    <row r="2071" spans="1:12" ht="28.8" x14ac:dyDescent="0.55000000000000004">
      <c r="A2071" s="9" t="str">
        <f>HYPERLINK("PDF\FOIA-FWS-2020-00724-0002070.pdf","FOIA-FWS-2020-00724-0002070")</f>
        <v>FOIA-FWS-2020-00724-0002070</v>
      </c>
      <c r="B2071" s="3" t="s">
        <v>3705</v>
      </c>
      <c r="C2071" s="3" t="s">
        <v>3</v>
      </c>
      <c r="D2071" s="3" t="s">
        <v>33</v>
      </c>
      <c r="E2071" s="3" t="s">
        <v>3706</v>
      </c>
      <c r="F2071" s="4">
        <v>43682.56527777778</v>
      </c>
      <c r="G2071" s="3" t="s">
        <v>945</v>
      </c>
      <c r="H2071" s="3" t="s">
        <v>1060</v>
      </c>
      <c r="I2071" s="3" t="s">
        <v>7043</v>
      </c>
      <c r="J2071" s="3"/>
      <c r="K2071" s="3"/>
      <c r="L2071" s="5"/>
    </row>
    <row r="2072" spans="1:12" ht="28.8" x14ac:dyDescent="0.55000000000000004">
      <c r="A2072" s="9" t="str">
        <f>HYPERLINK("PDF\FOIA-FWS-2020-00724-0002071.pdf","FOIA-FWS-2020-00724-0002071")</f>
        <v>FOIA-FWS-2020-00724-0002071</v>
      </c>
      <c r="B2072" s="3" t="s">
        <v>3705</v>
      </c>
      <c r="C2072" s="3" t="s">
        <v>234</v>
      </c>
      <c r="D2072" s="3" t="s">
        <v>33</v>
      </c>
      <c r="E2072" s="3" t="s">
        <v>3707</v>
      </c>
      <c r="F2072" s="4">
        <v>43682.56527777778</v>
      </c>
      <c r="G2072" s="3"/>
      <c r="H2072" s="3"/>
      <c r="I2072" s="3" t="s">
        <v>7043</v>
      </c>
      <c r="J2072" s="3"/>
      <c r="K2072" s="3"/>
      <c r="L2072" s="5"/>
    </row>
    <row r="2073" spans="1:12" ht="57.6" x14ac:dyDescent="0.55000000000000004">
      <c r="A2073" s="9" t="str">
        <f>HYPERLINK("PDF\FOIA-FWS-2020-00724-0002072.pdf","FOIA-FWS-2020-00724-0002072")</f>
        <v>FOIA-FWS-2020-00724-0002072</v>
      </c>
      <c r="B2073" s="3" t="s">
        <v>3708</v>
      </c>
      <c r="C2073" s="3" t="s">
        <v>3</v>
      </c>
      <c r="D2073" s="3" t="s">
        <v>33</v>
      </c>
      <c r="E2073" s="3" t="s">
        <v>3710</v>
      </c>
      <c r="F2073" s="4">
        <v>43683.481944444444</v>
      </c>
      <c r="G2073" s="3" t="s">
        <v>2081</v>
      </c>
      <c r="H2073" s="3" t="s">
        <v>3709</v>
      </c>
      <c r="I2073" s="3" t="s">
        <v>7043</v>
      </c>
      <c r="J2073" s="3"/>
      <c r="K2073" s="3"/>
      <c r="L2073" s="5"/>
    </row>
    <row r="2074" spans="1:12" ht="28.8" x14ac:dyDescent="0.55000000000000004">
      <c r="A2074" s="9" t="str">
        <f>HYPERLINK("PDF\FOIA-FWS-2020-00724-0002073.pdf","FOIA-FWS-2020-00724-0002073")</f>
        <v>FOIA-FWS-2020-00724-0002073</v>
      </c>
      <c r="B2074" s="3" t="s">
        <v>3708</v>
      </c>
      <c r="C2074" s="3" t="s">
        <v>234</v>
      </c>
      <c r="D2074" s="3" t="s">
        <v>33</v>
      </c>
      <c r="E2074" s="3" t="s">
        <v>3701</v>
      </c>
      <c r="F2074" s="4">
        <v>43683.481944444444</v>
      </c>
      <c r="G2074" s="3"/>
      <c r="H2074" s="3"/>
      <c r="I2074" s="3" t="s">
        <v>7043</v>
      </c>
      <c r="J2074" s="3"/>
      <c r="K2074" s="3"/>
      <c r="L2074" s="5"/>
    </row>
    <row r="2075" spans="1:12" ht="43.2" x14ac:dyDescent="0.55000000000000004">
      <c r="A2075" s="9" t="str">
        <f>HYPERLINK("PDF\FOIA-FWS-2020-00724-0002074.pdf","FOIA-FWS-2020-00724-0002074")</f>
        <v>FOIA-FWS-2020-00724-0002074</v>
      </c>
      <c r="B2075" s="3" t="s">
        <v>3711</v>
      </c>
      <c r="C2075" s="3" t="s">
        <v>3</v>
      </c>
      <c r="D2075" s="3" t="s">
        <v>33</v>
      </c>
      <c r="E2075" s="3" t="s">
        <v>3712</v>
      </c>
      <c r="F2075" s="4">
        <v>43683.570138888892</v>
      </c>
      <c r="G2075" s="3" t="s">
        <v>955</v>
      </c>
      <c r="H2075" s="3" t="s">
        <v>963</v>
      </c>
      <c r="I2075" s="3" t="s">
        <v>7044</v>
      </c>
      <c r="J2075" s="3" t="s">
        <v>7046</v>
      </c>
      <c r="K2075" s="3" t="s">
        <v>7036</v>
      </c>
      <c r="L2075" s="5"/>
    </row>
    <row r="2076" spans="1:12" ht="43.2" x14ac:dyDescent="0.55000000000000004">
      <c r="A2076" s="9" t="str">
        <f>HYPERLINK("PDF\FOIA-FWS-2020-00724-0002075.pdf","FOIA-FWS-2020-00724-0002075")</f>
        <v>FOIA-FWS-2020-00724-0002075</v>
      </c>
      <c r="B2076" s="3" t="s">
        <v>3713</v>
      </c>
      <c r="C2076" s="3" t="s">
        <v>3</v>
      </c>
      <c r="D2076" s="3" t="s">
        <v>33</v>
      </c>
      <c r="E2076" s="3" t="s">
        <v>3714</v>
      </c>
      <c r="F2076" s="4">
        <v>43683.723611111112</v>
      </c>
      <c r="G2076" s="3" t="s">
        <v>955</v>
      </c>
      <c r="H2076" s="3" t="s">
        <v>963</v>
      </c>
      <c r="I2076" s="3" t="s">
        <v>7044</v>
      </c>
      <c r="J2076" s="3" t="s">
        <v>7046</v>
      </c>
      <c r="K2076" s="3" t="s">
        <v>7036</v>
      </c>
      <c r="L2076" s="5"/>
    </row>
    <row r="2077" spans="1:12" ht="28.8" x14ac:dyDescent="0.55000000000000004">
      <c r="A2077" s="9" t="str">
        <f>HYPERLINK("PDF\FOIA-FWS-2020-00724-0002076.pdf","FOIA-FWS-2020-00724-0002076")</f>
        <v>FOIA-FWS-2020-00724-0002076</v>
      </c>
      <c r="B2077" s="3" t="s">
        <v>3715</v>
      </c>
      <c r="C2077" s="3" t="s">
        <v>3</v>
      </c>
      <c r="D2077" s="3" t="s">
        <v>33</v>
      </c>
      <c r="E2077" s="3" t="s">
        <v>3716</v>
      </c>
      <c r="F2077" s="4">
        <v>43684</v>
      </c>
      <c r="G2077" s="3"/>
      <c r="H2077" s="3"/>
      <c r="I2077" s="3" t="s">
        <v>7043</v>
      </c>
      <c r="J2077" s="3"/>
      <c r="K2077" s="3"/>
      <c r="L2077" s="5"/>
    </row>
    <row r="2078" spans="1:12" ht="28.8" x14ac:dyDescent="0.55000000000000004">
      <c r="A2078" s="9" t="str">
        <f>HYPERLINK("PDF\FOIA-FWS-2020-00724-0002077.pdf","FOIA-FWS-2020-00724-0002077")</f>
        <v>FOIA-FWS-2020-00724-0002077</v>
      </c>
      <c r="B2078" s="3" t="s">
        <v>3717</v>
      </c>
      <c r="C2078" s="3" t="s">
        <v>3</v>
      </c>
      <c r="D2078" s="3" t="s">
        <v>33</v>
      </c>
      <c r="E2078" s="3" t="s">
        <v>3718</v>
      </c>
      <c r="F2078" s="4">
        <v>43684.496527777781</v>
      </c>
      <c r="G2078" s="3" t="s">
        <v>2166</v>
      </c>
      <c r="H2078" s="3" t="s">
        <v>955</v>
      </c>
      <c r="I2078" s="3" t="s">
        <v>7043</v>
      </c>
      <c r="J2078" s="3"/>
      <c r="K2078" s="3"/>
      <c r="L2078" s="5"/>
    </row>
    <row r="2079" spans="1:12" ht="28.8" x14ac:dyDescent="0.55000000000000004">
      <c r="A2079" s="9" t="str">
        <f>HYPERLINK("PDF\FOIA-FWS-2020-00724-0002078.pdf","FOIA-FWS-2020-00724-0002078")</f>
        <v>FOIA-FWS-2020-00724-0002078</v>
      </c>
      <c r="B2079" s="3" t="s">
        <v>3719</v>
      </c>
      <c r="C2079" s="3" t="s">
        <v>3</v>
      </c>
      <c r="D2079" s="3" t="s">
        <v>33</v>
      </c>
      <c r="E2079" s="3" t="s">
        <v>3720</v>
      </c>
      <c r="F2079" s="4">
        <v>43684.55</v>
      </c>
      <c r="G2079" s="3" t="s">
        <v>1034</v>
      </c>
      <c r="H2079" s="3" t="s">
        <v>2081</v>
      </c>
      <c r="I2079" s="3" t="s">
        <v>7043</v>
      </c>
      <c r="J2079" s="3"/>
      <c r="K2079" s="3"/>
      <c r="L2079" s="5"/>
    </row>
    <row r="2080" spans="1:12" ht="28.8" x14ac:dyDescent="0.55000000000000004">
      <c r="A2080" s="9" t="str">
        <f>HYPERLINK("PDF\FOIA-FWS-2020-00724-0002079.pdf","FOIA-FWS-2020-00724-0002079")</f>
        <v>FOIA-FWS-2020-00724-0002079</v>
      </c>
      <c r="B2080" s="3" t="s">
        <v>3721</v>
      </c>
      <c r="C2080" s="3" t="s">
        <v>3</v>
      </c>
      <c r="D2080" s="3" t="s">
        <v>33</v>
      </c>
      <c r="E2080" s="3" t="s">
        <v>3722</v>
      </c>
      <c r="F2080" s="4">
        <v>43684.55972222222</v>
      </c>
      <c r="G2080" s="3" t="s">
        <v>872</v>
      </c>
      <c r="H2080" s="3" t="s">
        <v>2773</v>
      </c>
      <c r="I2080" s="3" t="s">
        <v>7043</v>
      </c>
      <c r="J2080" s="3"/>
      <c r="K2080" s="3"/>
      <c r="L2080" s="5"/>
    </row>
    <row r="2081" spans="1:12" ht="28.8" x14ac:dyDescent="0.55000000000000004">
      <c r="A2081" s="9" t="str">
        <f>HYPERLINK("PDF\FOIA-FWS-2020-00724-0002080.pdf","FOIA-FWS-2020-00724-0002080")</f>
        <v>FOIA-FWS-2020-00724-0002080</v>
      </c>
      <c r="B2081" s="3" t="s">
        <v>3721</v>
      </c>
      <c r="C2081" s="3" t="s">
        <v>234</v>
      </c>
      <c r="D2081" s="3" t="s">
        <v>33</v>
      </c>
      <c r="E2081" s="3" t="s">
        <v>3723</v>
      </c>
      <c r="F2081" s="4">
        <v>43684.55972222222</v>
      </c>
      <c r="G2081" s="3"/>
      <c r="H2081" s="3"/>
      <c r="I2081" s="3" t="s">
        <v>7043</v>
      </c>
      <c r="J2081" s="3"/>
      <c r="K2081" s="3"/>
      <c r="L2081" s="5"/>
    </row>
    <row r="2082" spans="1:12" ht="28.8" x14ac:dyDescent="0.55000000000000004">
      <c r="A2082" s="9" t="str">
        <f>HYPERLINK("PDF\FOIA-FWS-2020-00724-0002081.pdf","FOIA-FWS-2020-00724-0002081")</f>
        <v>FOIA-FWS-2020-00724-0002081</v>
      </c>
      <c r="B2082" s="3" t="s">
        <v>3724</v>
      </c>
      <c r="C2082" s="3" t="s">
        <v>3</v>
      </c>
      <c r="D2082" s="3" t="s">
        <v>33</v>
      </c>
      <c r="E2082" s="3" t="s">
        <v>3720</v>
      </c>
      <c r="F2082" s="4">
        <v>43684.652083333334</v>
      </c>
      <c r="G2082" s="3" t="s">
        <v>1034</v>
      </c>
      <c r="H2082" s="3" t="s">
        <v>3123</v>
      </c>
      <c r="I2082" s="3" t="s">
        <v>7043</v>
      </c>
      <c r="J2082" s="3"/>
      <c r="K2082" s="3"/>
      <c r="L2082" s="5"/>
    </row>
    <row r="2083" spans="1:12" ht="28.8" x14ac:dyDescent="0.55000000000000004">
      <c r="A2083" s="9" t="str">
        <f>HYPERLINK("PDF\FOIA-FWS-2020-00724-0002082.pdf","FOIA-FWS-2020-00724-0002082")</f>
        <v>FOIA-FWS-2020-00724-0002082</v>
      </c>
      <c r="B2083" s="3" t="s">
        <v>3725</v>
      </c>
      <c r="C2083" s="3" t="s">
        <v>3</v>
      </c>
      <c r="D2083" s="3" t="s">
        <v>33</v>
      </c>
      <c r="E2083" s="3" t="s">
        <v>3726</v>
      </c>
      <c r="F2083" s="4">
        <v>43685</v>
      </c>
      <c r="G2083" s="3"/>
      <c r="H2083" s="3"/>
      <c r="I2083" s="3" t="s">
        <v>7043</v>
      </c>
      <c r="J2083" s="3"/>
      <c r="K2083" s="3"/>
      <c r="L2083" s="5"/>
    </row>
    <row r="2084" spans="1:12" ht="28.8" x14ac:dyDescent="0.55000000000000004">
      <c r="A2084" s="9" t="str">
        <f>HYPERLINK("PDF\FOIA-FWS-2020-00724-0002083.pdf","FOIA-FWS-2020-00724-0002083")</f>
        <v>FOIA-FWS-2020-00724-0002083</v>
      </c>
      <c r="B2084" s="3" t="s">
        <v>3727</v>
      </c>
      <c r="C2084" s="3" t="s">
        <v>3</v>
      </c>
      <c r="D2084" s="3" t="s">
        <v>33</v>
      </c>
      <c r="E2084" s="3" t="s">
        <v>3728</v>
      </c>
      <c r="F2084" s="4">
        <v>43685</v>
      </c>
      <c r="G2084" s="3"/>
      <c r="H2084" s="3"/>
      <c r="I2084" s="3" t="s">
        <v>7043</v>
      </c>
      <c r="J2084" s="3"/>
      <c r="K2084" s="3"/>
      <c r="L2084" s="5"/>
    </row>
    <row r="2085" spans="1:12" ht="28.8" x14ac:dyDescent="0.55000000000000004">
      <c r="A2085" s="9" t="str">
        <f>HYPERLINK("PDF\FOIA-FWS-2020-00724-0002084.pdf","FOIA-FWS-2020-00724-0002084")</f>
        <v>FOIA-FWS-2020-00724-0002084</v>
      </c>
      <c r="B2085" s="3" t="s">
        <v>3729</v>
      </c>
      <c r="C2085" s="3" t="s">
        <v>3</v>
      </c>
      <c r="D2085" s="3" t="s">
        <v>33</v>
      </c>
      <c r="E2085" s="3" t="s">
        <v>3720</v>
      </c>
      <c r="F2085" s="4">
        <v>43685.613194444442</v>
      </c>
      <c r="G2085" s="3" t="s">
        <v>1034</v>
      </c>
      <c r="H2085" s="3" t="s">
        <v>3123</v>
      </c>
      <c r="I2085" s="3" t="s">
        <v>7043</v>
      </c>
      <c r="J2085" s="3"/>
      <c r="K2085" s="3"/>
      <c r="L2085" s="5"/>
    </row>
    <row r="2086" spans="1:12" ht="28.8" x14ac:dyDescent="0.55000000000000004">
      <c r="A2086" s="9" t="str">
        <f>HYPERLINK("PDF\FOIA-FWS-2020-00724-0002085.pdf","FOIA-FWS-2020-00724-0002085")</f>
        <v>FOIA-FWS-2020-00724-0002085</v>
      </c>
      <c r="B2086" s="3" t="s">
        <v>3730</v>
      </c>
      <c r="C2086" s="3" t="s">
        <v>3</v>
      </c>
      <c r="D2086" s="3" t="s">
        <v>33</v>
      </c>
      <c r="E2086" s="3" t="s">
        <v>3731</v>
      </c>
      <c r="F2086" s="4">
        <v>43685.75</v>
      </c>
      <c r="G2086" s="3" t="s">
        <v>955</v>
      </c>
      <c r="H2086" s="3" t="s">
        <v>1119</v>
      </c>
      <c r="I2086" s="3" t="s">
        <v>7043</v>
      </c>
      <c r="J2086" s="3"/>
      <c r="K2086" s="3"/>
      <c r="L2086" s="5"/>
    </row>
    <row r="2087" spans="1:12" ht="28.8" x14ac:dyDescent="0.55000000000000004">
      <c r="A2087" s="9" t="str">
        <f>HYPERLINK("PDF\FOIA-FWS-2020-00724-0002086.pdf","FOIA-FWS-2020-00724-0002086")</f>
        <v>FOIA-FWS-2020-00724-0002086</v>
      </c>
      <c r="B2087" s="3" t="s">
        <v>3730</v>
      </c>
      <c r="C2087" s="3" t="s">
        <v>234</v>
      </c>
      <c r="D2087" s="3" t="s">
        <v>33</v>
      </c>
      <c r="E2087" s="3" t="s">
        <v>3732</v>
      </c>
      <c r="F2087" s="4">
        <v>43685.75</v>
      </c>
      <c r="G2087" s="3"/>
      <c r="H2087" s="3"/>
      <c r="I2087" s="3" t="s">
        <v>7043</v>
      </c>
      <c r="J2087" s="3"/>
      <c r="K2087" s="3"/>
      <c r="L2087" s="5"/>
    </row>
    <row r="2088" spans="1:12" ht="28.8" x14ac:dyDescent="0.55000000000000004">
      <c r="A2088" s="9" t="str">
        <f>HYPERLINK("PDF\FOIA-FWS-2020-00724-0002087.pdf","FOIA-FWS-2020-00724-0002087")</f>
        <v>FOIA-FWS-2020-00724-0002087</v>
      </c>
      <c r="B2088" s="3" t="s">
        <v>3733</v>
      </c>
      <c r="C2088" s="3" t="s">
        <v>3</v>
      </c>
      <c r="D2088" s="3" t="s">
        <v>33</v>
      </c>
      <c r="E2088" s="3" t="s">
        <v>3734</v>
      </c>
      <c r="F2088" s="4">
        <v>43685.788888888892</v>
      </c>
      <c r="G2088" s="3" t="s">
        <v>1119</v>
      </c>
      <c r="H2088" s="3" t="s">
        <v>861</v>
      </c>
      <c r="I2088" s="3" t="s">
        <v>7043</v>
      </c>
      <c r="J2088" s="3"/>
      <c r="K2088" s="3"/>
      <c r="L2088" s="5"/>
    </row>
    <row r="2089" spans="1:12" ht="28.8" x14ac:dyDescent="0.55000000000000004">
      <c r="A2089" s="9" t="str">
        <f>HYPERLINK("PDF\FOIA-FWS-2020-00724-0002088.pdf","FOIA-FWS-2020-00724-0002088")</f>
        <v>FOIA-FWS-2020-00724-0002088</v>
      </c>
      <c r="B2089" s="3" t="s">
        <v>3733</v>
      </c>
      <c r="C2089" s="3" t="s">
        <v>234</v>
      </c>
      <c r="D2089" s="3" t="s">
        <v>33</v>
      </c>
      <c r="E2089" s="3" t="s">
        <v>3735</v>
      </c>
      <c r="F2089" s="4">
        <v>43685.788888888892</v>
      </c>
      <c r="G2089" s="3"/>
      <c r="H2089" s="3"/>
      <c r="I2089" s="3" t="s">
        <v>7043</v>
      </c>
      <c r="J2089" s="3"/>
      <c r="K2089" s="3"/>
      <c r="L2089" s="5"/>
    </row>
    <row r="2090" spans="1:12" ht="28.8" x14ac:dyDescent="0.55000000000000004">
      <c r="A2090" s="9" t="str">
        <f>HYPERLINK("PDF\FOIA-FWS-2020-00724-0002089.pdf","FOIA-FWS-2020-00724-0002089")</f>
        <v>FOIA-FWS-2020-00724-0002089</v>
      </c>
      <c r="B2090" s="3" t="s">
        <v>3736</v>
      </c>
      <c r="C2090" s="3" t="s">
        <v>3</v>
      </c>
      <c r="D2090" s="3" t="s">
        <v>33</v>
      </c>
      <c r="E2090" s="3" t="s">
        <v>3720</v>
      </c>
      <c r="F2090" s="4">
        <v>43685.798611111109</v>
      </c>
      <c r="G2090" s="3" t="s">
        <v>861</v>
      </c>
      <c r="H2090" s="3" t="s">
        <v>2081</v>
      </c>
      <c r="I2090" s="3" t="s">
        <v>7043</v>
      </c>
      <c r="J2090" s="3"/>
      <c r="K2090" s="3"/>
      <c r="L2090" s="5"/>
    </row>
    <row r="2091" spans="1:12" ht="28.8" x14ac:dyDescent="0.55000000000000004">
      <c r="A2091" s="9" t="str">
        <f>HYPERLINK("PDF\FOIA-FWS-2020-00724-0002090.pdf","FOIA-FWS-2020-00724-0002090")</f>
        <v>FOIA-FWS-2020-00724-0002090</v>
      </c>
      <c r="B2091" s="3" t="s">
        <v>3736</v>
      </c>
      <c r="C2091" s="3" t="s">
        <v>234</v>
      </c>
      <c r="D2091" s="3" t="s">
        <v>33</v>
      </c>
      <c r="E2091" s="3" t="s">
        <v>3737</v>
      </c>
      <c r="F2091" s="4">
        <v>43685.798611111109</v>
      </c>
      <c r="G2091" s="3"/>
      <c r="H2091" s="3"/>
      <c r="I2091" s="3" t="s">
        <v>7043</v>
      </c>
      <c r="J2091" s="3"/>
      <c r="K2091" s="3"/>
      <c r="L2091" s="5"/>
    </row>
    <row r="2092" spans="1:12" ht="28.8" x14ac:dyDescent="0.55000000000000004">
      <c r="A2092" s="9" t="str">
        <f>HYPERLINK("PDF\FOIA-FWS-2020-00724-0002091.pdf","FOIA-FWS-2020-00724-0002091")</f>
        <v>FOIA-FWS-2020-00724-0002091</v>
      </c>
      <c r="B2092" s="3" t="s">
        <v>3738</v>
      </c>
      <c r="C2092" s="3" t="s">
        <v>3</v>
      </c>
      <c r="D2092" s="3" t="s">
        <v>33</v>
      </c>
      <c r="E2092" s="3" t="s">
        <v>3740</v>
      </c>
      <c r="F2092" s="4">
        <v>43686.591666666667</v>
      </c>
      <c r="G2092" s="3" t="s">
        <v>1631</v>
      </c>
      <c r="H2092" s="3" t="s">
        <v>3739</v>
      </c>
      <c r="I2092" s="3" t="s">
        <v>7043</v>
      </c>
      <c r="J2092" s="3"/>
      <c r="K2092" s="3"/>
      <c r="L2092" s="5"/>
    </row>
    <row r="2093" spans="1:12" ht="28.8" x14ac:dyDescent="0.55000000000000004">
      <c r="A2093" s="9" t="str">
        <f>HYPERLINK("PDF\FOIA-FWS-2020-00724-0002092.pdf","FOIA-FWS-2020-00724-0002092")</f>
        <v>FOIA-FWS-2020-00724-0002092</v>
      </c>
      <c r="B2093" s="3" t="s">
        <v>3738</v>
      </c>
      <c r="C2093" s="3" t="s">
        <v>234</v>
      </c>
      <c r="D2093" s="3" t="s">
        <v>33</v>
      </c>
      <c r="E2093" s="3" t="s">
        <v>3701</v>
      </c>
      <c r="F2093" s="4">
        <v>43686.591666666667</v>
      </c>
      <c r="G2093" s="3"/>
      <c r="H2093" s="3"/>
      <c r="I2093" s="3" t="s">
        <v>7043</v>
      </c>
      <c r="J2093" s="3"/>
      <c r="K2093" s="3"/>
      <c r="L2093" s="5"/>
    </row>
    <row r="2094" spans="1:12" ht="28.8" x14ac:dyDescent="0.55000000000000004">
      <c r="A2094" s="9" t="str">
        <f>HYPERLINK("PDF\FOIA-FWS-2020-00724-0002093.pdf","FOIA-FWS-2020-00724-0002093")</f>
        <v>FOIA-FWS-2020-00724-0002093</v>
      </c>
      <c r="B2094" s="3" t="s">
        <v>3741</v>
      </c>
      <c r="C2094" s="3" t="s">
        <v>3</v>
      </c>
      <c r="D2094" s="3" t="s">
        <v>33</v>
      </c>
      <c r="E2094" s="3" t="s">
        <v>3743</v>
      </c>
      <c r="F2094" s="4">
        <v>43689.786805555559</v>
      </c>
      <c r="G2094" s="3" t="s">
        <v>1034</v>
      </c>
      <c r="H2094" s="3" t="s">
        <v>3742</v>
      </c>
      <c r="I2094" s="3" t="s">
        <v>7043</v>
      </c>
      <c r="J2094" s="3"/>
      <c r="K2094" s="3"/>
      <c r="L2094" s="5"/>
    </row>
    <row r="2095" spans="1:12" ht="28.8" x14ac:dyDescent="0.55000000000000004">
      <c r="A2095" s="9" t="str">
        <f>HYPERLINK("PDF\FOIA-FWS-2020-00724-0002094.pdf","FOIA-FWS-2020-00724-0002094")</f>
        <v>FOIA-FWS-2020-00724-0002094</v>
      </c>
      <c r="B2095" s="3" t="s">
        <v>3744</v>
      </c>
      <c r="C2095" s="3" t="s">
        <v>3</v>
      </c>
      <c r="D2095" s="3" t="s">
        <v>33</v>
      </c>
      <c r="E2095" s="3" t="s">
        <v>3745</v>
      </c>
      <c r="F2095" s="4">
        <v>43690</v>
      </c>
      <c r="G2095" s="3"/>
      <c r="H2095" s="3"/>
      <c r="I2095" s="3" t="s">
        <v>7043</v>
      </c>
      <c r="J2095" s="3"/>
      <c r="K2095" s="3"/>
      <c r="L2095" s="5"/>
    </row>
    <row r="2096" spans="1:12" ht="28.8" x14ac:dyDescent="0.55000000000000004">
      <c r="A2096" s="9" t="str">
        <f>HYPERLINK("PDF\FOIA-FWS-2020-00724-0002095.pdf","FOIA-FWS-2020-00724-0002095")</f>
        <v>FOIA-FWS-2020-00724-0002095</v>
      </c>
      <c r="B2096" s="3" t="s">
        <v>3746</v>
      </c>
      <c r="C2096" s="3" t="s">
        <v>3</v>
      </c>
      <c r="D2096" s="3" t="s">
        <v>33</v>
      </c>
      <c r="E2096" s="3" t="s">
        <v>3747</v>
      </c>
      <c r="F2096" s="4">
        <v>43690</v>
      </c>
      <c r="G2096" s="3"/>
      <c r="H2096" s="3"/>
      <c r="I2096" s="3" t="s">
        <v>7043</v>
      </c>
      <c r="J2096" s="3"/>
      <c r="K2096" s="3"/>
      <c r="L2096" s="5"/>
    </row>
    <row r="2097" spans="1:12" ht="28.8" x14ac:dyDescent="0.55000000000000004">
      <c r="A2097" s="9" t="str">
        <f>HYPERLINK("PDF\FOIA-FWS-2020-00724-0002096.pdf","FOIA-FWS-2020-00724-0002096")</f>
        <v>FOIA-FWS-2020-00724-0002096</v>
      </c>
      <c r="B2097" s="3" t="s">
        <v>3748</v>
      </c>
      <c r="C2097" s="3" t="s">
        <v>3</v>
      </c>
      <c r="D2097" s="3" t="s">
        <v>33</v>
      </c>
      <c r="E2097" s="3" t="s">
        <v>3749</v>
      </c>
      <c r="F2097" s="4">
        <v>43690</v>
      </c>
      <c r="G2097" s="3"/>
      <c r="H2097" s="3"/>
      <c r="I2097" s="3" t="s">
        <v>7043</v>
      </c>
      <c r="J2097" s="3"/>
      <c r="K2097" s="3"/>
      <c r="L2097" s="5"/>
    </row>
    <row r="2098" spans="1:12" ht="43.2" x14ac:dyDescent="0.55000000000000004">
      <c r="A2098" s="9" t="str">
        <f>HYPERLINK("PDF\FOIA-FWS-2020-00724-0002097.pdf","FOIA-FWS-2020-00724-0002097")</f>
        <v>FOIA-FWS-2020-00724-0002097</v>
      </c>
      <c r="B2098" s="3" t="s">
        <v>3750</v>
      </c>
      <c r="C2098" s="3" t="s">
        <v>3</v>
      </c>
      <c r="D2098" s="3" t="s">
        <v>33</v>
      </c>
      <c r="E2098" s="3" t="s">
        <v>3751</v>
      </c>
      <c r="F2098" s="4">
        <v>43690</v>
      </c>
      <c r="G2098" s="3"/>
      <c r="H2098" s="3"/>
      <c r="I2098" s="3" t="s">
        <v>7044</v>
      </c>
      <c r="J2098" s="3" t="s">
        <v>7046</v>
      </c>
      <c r="K2098" s="3" t="s">
        <v>7036</v>
      </c>
      <c r="L2098" s="5"/>
    </row>
    <row r="2099" spans="1:12" ht="28.8" x14ac:dyDescent="0.55000000000000004">
      <c r="A2099" s="9" t="str">
        <f>HYPERLINK("PDF\FOIA-FWS-2020-00724-0002098.pdf","FOIA-FWS-2020-00724-0002098")</f>
        <v>FOIA-FWS-2020-00724-0002098</v>
      </c>
      <c r="B2099" s="3" t="s">
        <v>3752</v>
      </c>
      <c r="C2099" s="3" t="s">
        <v>3</v>
      </c>
      <c r="D2099" s="3" t="s">
        <v>33</v>
      </c>
      <c r="E2099" s="3" t="s">
        <v>3745</v>
      </c>
      <c r="F2099" s="4">
        <v>43690</v>
      </c>
      <c r="G2099" s="3"/>
      <c r="H2099" s="3"/>
      <c r="I2099" s="3" t="s">
        <v>7043</v>
      </c>
      <c r="J2099" s="3"/>
      <c r="K2099" s="3"/>
      <c r="L2099" s="5"/>
    </row>
    <row r="2100" spans="1:12" ht="72" x14ac:dyDescent="0.55000000000000004">
      <c r="A2100" s="9" t="str">
        <f>HYPERLINK("PDF\FOIA-FWS-2020-00724-0002099.pdf","FOIA-FWS-2020-00724-0002099")</f>
        <v>FOIA-FWS-2020-00724-0002099</v>
      </c>
      <c r="B2100" s="3" t="s">
        <v>3753</v>
      </c>
      <c r="C2100" s="3" t="s">
        <v>3</v>
      </c>
      <c r="D2100" s="3" t="s">
        <v>33</v>
      </c>
      <c r="E2100" s="3" t="s">
        <v>3755</v>
      </c>
      <c r="F2100" s="4">
        <v>43690.572222222225</v>
      </c>
      <c r="G2100" s="3" t="s">
        <v>963</v>
      </c>
      <c r="H2100" s="3" t="s">
        <v>3754</v>
      </c>
      <c r="I2100" s="3" t="s">
        <v>7043</v>
      </c>
      <c r="J2100" s="3"/>
      <c r="K2100" s="3"/>
      <c r="L2100" s="5"/>
    </row>
    <row r="2101" spans="1:12" ht="28.8" x14ac:dyDescent="0.55000000000000004">
      <c r="A2101" s="9" t="str">
        <f>HYPERLINK("PDF\FOIA-FWS-2020-00724-0002100.pdf","FOIA-FWS-2020-00724-0002100")</f>
        <v>FOIA-FWS-2020-00724-0002100</v>
      </c>
      <c r="B2101" s="3" t="s">
        <v>3756</v>
      </c>
      <c r="C2101" s="3" t="s">
        <v>3</v>
      </c>
      <c r="D2101" s="3" t="s">
        <v>33</v>
      </c>
      <c r="E2101" s="3" t="s">
        <v>3757</v>
      </c>
      <c r="F2101" s="4">
        <v>43691.49722222222</v>
      </c>
      <c r="G2101" s="3" t="s">
        <v>1060</v>
      </c>
      <c r="H2101" s="3" t="s">
        <v>1119</v>
      </c>
      <c r="I2101" s="3" t="s">
        <v>7043</v>
      </c>
      <c r="J2101" s="3"/>
      <c r="K2101" s="3"/>
      <c r="L2101" s="5"/>
    </row>
    <row r="2102" spans="1:12" ht="43.2" x14ac:dyDescent="0.55000000000000004">
      <c r="A2102" t="s">
        <v>7026</v>
      </c>
      <c r="B2102" s="3" t="s">
        <v>3756</v>
      </c>
      <c r="C2102" s="3" t="s">
        <v>234</v>
      </c>
      <c r="D2102" s="3" t="s">
        <v>33</v>
      </c>
      <c r="E2102" s="3" t="s">
        <v>3758</v>
      </c>
      <c r="F2102" s="4">
        <v>43691.49722222222</v>
      </c>
      <c r="G2102" s="3"/>
      <c r="H2102" s="3"/>
      <c r="I2102" s="3" t="s">
        <v>7044</v>
      </c>
      <c r="J2102" s="3" t="s">
        <v>7046</v>
      </c>
      <c r="K2102" s="3"/>
      <c r="L2102" s="5"/>
    </row>
    <row r="2103" spans="1:12" ht="28.8" x14ac:dyDescent="0.55000000000000004">
      <c r="A2103" s="9" t="str">
        <f>HYPERLINK("PDF\FOIA-FWS-2020-00724-0002102.pdf","FOIA-FWS-2020-00724-0002102")</f>
        <v>FOIA-FWS-2020-00724-0002102</v>
      </c>
      <c r="B2103" s="3" t="s">
        <v>3759</v>
      </c>
      <c r="C2103" s="3" t="s">
        <v>3</v>
      </c>
      <c r="D2103" s="3" t="s">
        <v>4</v>
      </c>
      <c r="E2103" s="3" t="s">
        <v>3760</v>
      </c>
      <c r="F2103" s="4">
        <v>43692</v>
      </c>
      <c r="G2103" s="3"/>
      <c r="H2103" s="3"/>
      <c r="I2103" s="3" t="s">
        <v>7043</v>
      </c>
      <c r="J2103" s="3"/>
      <c r="K2103" s="3"/>
      <c r="L2103" s="5"/>
    </row>
    <row r="2104" spans="1:12" ht="43.2" x14ac:dyDescent="0.55000000000000004">
      <c r="A2104" s="9" t="str">
        <f>HYPERLINK("PDF\FOIA-FWS-2020-00724-0002103.pdf","FOIA-FWS-2020-00724-0002103")</f>
        <v>FOIA-FWS-2020-00724-0002103</v>
      </c>
      <c r="B2104" s="3" t="s">
        <v>3761</v>
      </c>
      <c r="C2104" s="3" t="s">
        <v>3</v>
      </c>
      <c r="D2104" s="3" t="s">
        <v>4</v>
      </c>
      <c r="E2104" s="3" t="s">
        <v>3762</v>
      </c>
      <c r="F2104" s="4">
        <v>43692</v>
      </c>
      <c r="G2104" s="3"/>
      <c r="H2104" s="3"/>
      <c r="I2104" s="3" t="s">
        <v>7043</v>
      </c>
      <c r="J2104" s="3"/>
      <c r="K2104" s="3"/>
      <c r="L2104" s="5"/>
    </row>
    <row r="2105" spans="1:12" ht="43.2" x14ac:dyDescent="0.55000000000000004">
      <c r="A2105" s="9" t="str">
        <f>HYPERLINK("PDF\FOIA-FWS-2020-00724-0002104.pdf","FOIA-FWS-2020-00724-0002104")</f>
        <v>FOIA-FWS-2020-00724-0002104</v>
      </c>
      <c r="B2105" s="3" t="s">
        <v>3763</v>
      </c>
      <c r="C2105" s="3" t="s">
        <v>3</v>
      </c>
      <c r="D2105" s="3" t="s">
        <v>4</v>
      </c>
      <c r="E2105" s="3" t="s">
        <v>3764</v>
      </c>
      <c r="F2105" s="4">
        <v>43692</v>
      </c>
      <c r="G2105" s="3"/>
      <c r="H2105" s="3"/>
      <c r="I2105" s="3" t="s">
        <v>7043</v>
      </c>
      <c r="J2105" s="3"/>
      <c r="K2105" s="3"/>
      <c r="L2105" s="5"/>
    </row>
    <row r="2106" spans="1:12" ht="43.2" x14ac:dyDescent="0.55000000000000004">
      <c r="A2106" s="9" t="str">
        <f>HYPERLINK("PDF\FOIA-FWS-2020-00724-0002105.pdf","FOIA-FWS-2020-00724-0002105")</f>
        <v>FOIA-FWS-2020-00724-0002105</v>
      </c>
      <c r="B2106" s="3" t="s">
        <v>3765</v>
      </c>
      <c r="C2106" s="3" t="s">
        <v>3</v>
      </c>
      <c r="D2106" s="3" t="s">
        <v>33</v>
      </c>
      <c r="E2106" s="3" t="s">
        <v>3766</v>
      </c>
      <c r="F2106" s="4">
        <v>43692.515972222223</v>
      </c>
      <c r="G2106" s="3" t="s">
        <v>955</v>
      </c>
      <c r="H2106" s="3" t="s">
        <v>963</v>
      </c>
      <c r="I2106" s="3" t="s">
        <v>7043</v>
      </c>
      <c r="J2106" s="3"/>
      <c r="K2106" s="3"/>
      <c r="L2106" s="5"/>
    </row>
    <row r="2107" spans="1:12" ht="28.8" x14ac:dyDescent="0.55000000000000004">
      <c r="A2107" s="9" t="str">
        <f>HYPERLINK("PDF\FOIA-FWS-2020-00724-0002106.pdf","FOIA-FWS-2020-00724-0002106")</f>
        <v>FOIA-FWS-2020-00724-0002106</v>
      </c>
      <c r="B2107" s="3" t="s">
        <v>3767</v>
      </c>
      <c r="C2107" s="3" t="s">
        <v>3</v>
      </c>
      <c r="D2107" s="3" t="s">
        <v>33</v>
      </c>
      <c r="E2107" s="3" t="s">
        <v>3768</v>
      </c>
      <c r="F2107" s="4">
        <v>43692.571527777778</v>
      </c>
      <c r="G2107" s="3" t="s">
        <v>955</v>
      </c>
      <c r="H2107" s="3" t="s">
        <v>1730</v>
      </c>
      <c r="I2107" s="3" t="s">
        <v>7043</v>
      </c>
      <c r="J2107" s="3"/>
      <c r="K2107" s="3"/>
      <c r="L2107" s="5"/>
    </row>
    <row r="2108" spans="1:12" ht="43.2" x14ac:dyDescent="0.55000000000000004">
      <c r="A2108" s="9" t="str">
        <f>HYPERLINK("PDF\FOIA-FWS-2020-00724-0002107.pdf","FOIA-FWS-2020-00724-0002107")</f>
        <v>FOIA-FWS-2020-00724-0002107</v>
      </c>
      <c r="B2108" s="3" t="s">
        <v>3767</v>
      </c>
      <c r="C2108" s="3" t="s">
        <v>234</v>
      </c>
      <c r="D2108" s="3" t="s">
        <v>33</v>
      </c>
      <c r="E2108" s="3" t="s">
        <v>3769</v>
      </c>
      <c r="F2108" s="4">
        <v>43692.571527777778</v>
      </c>
      <c r="G2108" s="3"/>
      <c r="H2108" s="3"/>
      <c r="I2108" s="3" t="s">
        <v>7043</v>
      </c>
      <c r="J2108" s="3"/>
      <c r="K2108" s="3"/>
      <c r="L2108" s="5"/>
    </row>
    <row r="2109" spans="1:12" ht="28.8" x14ac:dyDescent="0.55000000000000004">
      <c r="A2109" s="9" t="str">
        <f>HYPERLINK("PDF\FOIA-FWS-2020-00724-0002108.pdf","FOIA-FWS-2020-00724-0002108")</f>
        <v>FOIA-FWS-2020-00724-0002108</v>
      </c>
      <c r="B2109" s="3" t="s">
        <v>3770</v>
      </c>
      <c r="C2109" s="3" t="s">
        <v>3</v>
      </c>
      <c r="D2109" s="3" t="s">
        <v>33</v>
      </c>
      <c r="E2109" s="3" t="s">
        <v>3771</v>
      </c>
      <c r="F2109" s="4">
        <v>43692.725694444445</v>
      </c>
      <c r="G2109" s="3" t="s">
        <v>963</v>
      </c>
      <c r="H2109" s="3" t="s">
        <v>955</v>
      </c>
      <c r="I2109" s="3" t="s">
        <v>7043</v>
      </c>
      <c r="J2109" s="3"/>
      <c r="K2109" s="3"/>
      <c r="L2109" s="5"/>
    </row>
    <row r="2110" spans="1:12" ht="43.2" x14ac:dyDescent="0.55000000000000004">
      <c r="A2110" s="9" t="str">
        <f>HYPERLINK("PDF\FOIA-FWS-2020-00724-0002109.pdf","FOIA-FWS-2020-00724-0002109")</f>
        <v>FOIA-FWS-2020-00724-0002109</v>
      </c>
      <c r="B2110" s="3" t="s">
        <v>3772</v>
      </c>
      <c r="C2110" s="3" t="s">
        <v>3</v>
      </c>
      <c r="D2110" s="3" t="s">
        <v>33</v>
      </c>
      <c r="E2110" s="3" t="s">
        <v>3773</v>
      </c>
      <c r="F2110" s="4">
        <v>43692.748611111114</v>
      </c>
      <c r="G2110" s="3" t="s">
        <v>963</v>
      </c>
      <c r="H2110" s="3" t="s">
        <v>955</v>
      </c>
      <c r="I2110" s="3" t="s">
        <v>7044</v>
      </c>
      <c r="J2110" s="3" t="s">
        <v>7046</v>
      </c>
      <c r="K2110" s="3" t="s">
        <v>7036</v>
      </c>
      <c r="L2110" s="5"/>
    </row>
    <row r="2111" spans="1:12" ht="28.8" x14ac:dyDescent="0.55000000000000004">
      <c r="A2111" s="9" t="str">
        <f>HYPERLINK("PDF\FOIA-FWS-2020-00724-0002110.pdf","FOIA-FWS-2020-00724-0002110")</f>
        <v>FOIA-FWS-2020-00724-0002110</v>
      </c>
      <c r="B2111" s="3" t="s">
        <v>3774</v>
      </c>
      <c r="C2111" s="3" t="s">
        <v>3</v>
      </c>
      <c r="D2111" s="3" t="s">
        <v>33</v>
      </c>
      <c r="E2111" s="3" t="s">
        <v>3775</v>
      </c>
      <c r="F2111" s="4">
        <v>43693.544444444444</v>
      </c>
      <c r="G2111" s="3" t="s">
        <v>963</v>
      </c>
      <c r="H2111" s="3" t="s">
        <v>955</v>
      </c>
      <c r="I2111" s="3" t="s">
        <v>7043</v>
      </c>
      <c r="J2111" s="3"/>
      <c r="K2111" s="3"/>
      <c r="L2111" s="5"/>
    </row>
    <row r="2112" spans="1:12" ht="28.8" x14ac:dyDescent="0.55000000000000004">
      <c r="A2112" s="9" t="str">
        <f>HYPERLINK("PDF\FOIA-FWS-2020-00724-0002111.pdf","FOIA-FWS-2020-00724-0002111")</f>
        <v>FOIA-FWS-2020-00724-0002111</v>
      </c>
      <c r="B2112" s="3" t="s">
        <v>3776</v>
      </c>
      <c r="C2112" s="3" t="s">
        <v>3</v>
      </c>
      <c r="D2112" s="3" t="s">
        <v>33</v>
      </c>
      <c r="E2112" s="3" t="s">
        <v>3777</v>
      </c>
      <c r="F2112" s="4">
        <v>43693.587500000001</v>
      </c>
      <c r="G2112" s="3" t="s">
        <v>963</v>
      </c>
      <c r="H2112" s="3" t="s">
        <v>955</v>
      </c>
      <c r="I2112" s="3" t="s">
        <v>7043</v>
      </c>
      <c r="J2112" s="3"/>
      <c r="K2112" s="3"/>
      <c r="L2112" s="5"/>
    </row>
    <row r="2113" spans="1:12" ht="28.8" x14ac:dyDescent="0.55000000000000004">
      <c r="A2113" s="9" t="str">
        <f>HYPERLINK("PDF\FOIA-FWS-2020-00724-0002112.pdf","FOIA-FWS-2020-00724-0002112")</f>
        <v>FOIA-FWS-2020-00724-0002112</v>
      </c>
      <c r="B2113" s="3" t="s">
        <v>3778</v>
      </c>
      <c r="C2113" s="3" t="s">
        <v>3</v>
      </c>
      <c r="D2113" s="3" t="s">
        <v>33</v>
      </c>
      <c r="E2113" s="3" t="s">
        <v>3779</v>
      </c>
      <c r="F2113" s="4">
        <v>43693.630555555559</v>
      </c>
      <c r="G2113" s="3" t="s">
        <v>963</v>
      </c>
      <c r="H2113" s="3" t="s">
        <v>955</v>
      </c>
      <c r="I2113" s="3" t="s">
        <v>7043</v>
      </c>
      <c r="J2113" s="3"/>
      <c r="K2113" s="3"/>
      <c r="L2113" s="5"/>
    </row>
    <row r="2114" spans="1:12" ht="28.8" x14ac:dyDescent="0.55000000000000004">
      <c r="A2114" s="9" t="str">
        <f>HYPERLINK("PDF\FOIA-FWS-2020-00724-0002113.pdf","FOIA-FWS-2020-00724-0002113")</f>
        <v>FOIA-FWS-2020-00724-0002113</v>
      </c>
      <c r="B2114" s="3" t="s">
        <v>3778</v>
      </c>
      <c r="C2114" s="3" t="s">
        <v>234</v>
      </c>
      <c r="D2114" s="3" t="s">
        <v>33</v>
      </c>
      <c r="E2114" s="3" t="s">
        <v>3780</v>
      </c>
      <c r="F2114" s="4">
        <v>43693.630555555559</v>
      </c>
      <c r="G2114" s="3"/>
      <c r="H2114" s="3"/>
      <c r="I2114" s="3" t="s">
        <v>7043</v>
      </c>
      <c r="J2114" s="3"/>
      <c r="K2114" s="3"/>
      <c r="L2114" s="5"/>
    </row>
    <row r="2115" spans="1:12" ht="43.2" x14ac:dyDescent="0.55000000000000004">
      <c r="A2115" s="9" t="str">
        <f>HYPERLINK("PDF\FOIA-FWS-2020-00724-0002114.pdf","FOIA-FWS-2020-00724-0002114")</f>
        <v>FOIA-FWS-2020-00724-0002114</v>
      </c>
      <c r="B2115" s="3" t="s">
        <v>3781</v>
      </c>
      <c r="C2115" s="3" t="s">
        <v>3</v>
      </c>
      <c r="D2115" s="3" t="s">
        <v>33</v>
      </c>
      <c r="E2115" s="3" t="s">
        <v>3783</v>
      </c>
      <c r="F2115" s="4">
        <v>43693.677777777775</v>
      </c>
      <c r="G2115" s="3" t="s">
        <v>3754</v>
      </c>
      <c r="H2115" s="3" t="s">
        <v>3782</v>
      </c>
      <c r="I2115" s="3" t="s">
        <v>7044</v>
      </c>
      <c r="J2115" s="3" t="s">
        <v>7046</v>
      </c>
      <c r="K2115" s="3" t="s">
        <v>7036</v>
      </c>
      <c r="L2115" s="5"/>
    </row>
    <row r="2116" spans="1:12" ht="28.8" x14ac:dyDescent="0.55000000000000004">
      <c r="A2116" s="9" t="str">
        <f>HYPERLINK("PDF\FOIA-FWS-2020-00724-0002115.pdf","FOIA-FWS-2020-00724-0002115")</f>
        <v>FOIA-FWS-2020-00724-0002115</v>
      </c>
      <c r="B2116" s="3" t="s">
        <v>3781</v>
      </c>
      <c r="C2116" s="3" t="s">
        <v>234</v>
      </c>
      <c r="D2116" s="3" t="s">
        <v>33</v>
      </c>
      <c r="E2116" s="3" t="s">
        <v>3644</v>
      </c>
      <c r="F2116" s="4">
        <v>43693.677777777775</v>
      </c>
      <c r="G2116" s="3"/>
      <c r="H2116" s="3"/>
      <c r="I2116" s="3" t="s">
        <v>7052</v>
      </c>
      <c r="J2116" s="3" t="s">
        <v>7046</v>
      </c>
      <c r="K2116" s="3" t="s">
        <v>7036</v>
      </c>
      <c r="L2116" s="5"/>
    </row>
    <row r="2117" spans="1:12" ht="28.8" x14ac:dyDescent="0.55000000000000004">
      <c r="A2117" s="9" t="str">
        <f>HYPERLINK("PDF\FOIA-FWS-2020-00724-0002116.pdf","FOIA-FWS-2020-00724-0002116")</f>
        <v>FOIA-FWS-2020-00724-0002116</v>
      </c>
      <c r="B2117" s="3" t="s">
        <v>3781</v>
      </c>
      <c r="C2117" s="3" t="s">
        <v>234</v>
      </c>
      <c r="D2117" s="3" t="s">
        <v>33</v>
      </c>
      <c r="E2117" s="3" t="s">
        <v>3784</v>
      </c>
      <c r="F2117" s="4">
        <v>43693.677777777775</v>
      </c>
      <c r="G2117" s="3"/>
      <c r="H2117" s="3"/>
      <c r="I2117" s="3" t="s">
        <v>7043</v>
      </c>
      <c r="J2117" s="3"/>
      <c r="K2117" s="3"/>
      <c r="L2117" s="5"/>
    </row>
    <row r="2118" spans="1:12" ht="28.8" x14ac:dyDescent="0.55000000000000004">
      <c r="A2118" s="9" t="str">
        <f>HYPERLINK("PDF\FOIA-FWS-2020-00724-0002117.pdf","FOIA-FWS-2020-00724-0002117")</f>
        <v>FOIA-FWS-2020-00724-0002117</v>
      </c>
      <c r="B2118" s="3" t="s">
        <v>3781</v>
      </c>
      <c r="C2118" s="3" t="s">
        <v>234</v>
      </c>
      <c r="D2118" s="3" t="s">
        <v>33</v>
      </c>
      <c r="E2118" s="3" t="s">
        <v>3785</v>
      </c>
      <c r="F2118" s="4">
        <v>43693.677777777775</v>
      </c>
      <c r="G2118" s="3"/>
      <c r="H2118" s="3"/>
      <c r="I2118" s="3" t="s">
        <v>7043</v>
      </c>
      <c r="J2118" s="3"/>
      <c r="K2118" s="3"/>
      <c r="L2118" s="5"/>
    </row>
    <row r="2119" spans="1:12" ht="28.8" x14ac:dyDescent="0.55000000000000004">
      <c r="A2119" s="9" t="str">
        <f>HYPERLINK("PDF\FOIA-FWS-2020-00724-0002118.pdf","FOIA-FWS-2020-00724-0002118")</f>
        <v>FOIA-FWS-2020-00724-0002118</v>
      </c>
      <c r="B2119" s="3" t="s">
        <v>3781</v>
      </c>
      <c r="C2119" s="3" t="s">
        <v>234</v>
      </c>
      <c r="D2119" s="3" t="s">
        <v>33</v>
      </c>
      <c r="E2119" s="3" t="s">
        <v>3786</v>
      </c>
      <c r="F2119" s="4">
        <v>43693.677777777775</v>
      </c>
      <c r="G2119" s="3"/>
      <c r="H2119" s="3"/>
      <c r="I2119" s="3" t="s">
        <v>7043</v>
      </c>
      <c r="J2119" s="3"/>
      <c r="K2119" s="3"/>
      <c r="L2119" s="5"/>
    </row>
    <row r="2120" spans="1:12" ht="28.8" x14ac:dyDescent="0.55000000000000004">
      <c r="A2120" s="9" t="str">
        <f>HYPERLINK("PDF\FOIA-FWS-2020-00724-0002119.pdf","FOIA-FWS-2020-00724-0002119")</f>
        <v>FOIA-FWS-2020-00724-0002119</v>
      </c>
      <c r="B2120" s="3" t="s">
        <v>3781</v>
      </c>
      <c r="C2120" s="3" t="s">
        <v>234</v>
      </c>
      <c r="D2120" s="3" t="s">
        <v>33</v>
      </c>
      <c r="E2120" s="3" t="s">
        <v>3780</v>
      </c>
      <c r="F2120" s="4">
        <v>43693.677777777775</v>
      </c>
      <c r="G2120" s="3"/>
      <c r="H2120" s="3"/>
      <c r="I2120" s="3" t="s">
        <v>7043</v>
      </c>
      <c r="J2120" s="3"/>
      <c r="K2120" s="3"/>
      <c r="L2120" s="5"/>
    </row>
    <row r="2121" spans="1:12" ht="43.2" x14ac:dyDescent="0.55000000000000004">
      <c r="A2121" t="s">
        <v>3787</v>
      </c>
      <c r="B2121" s="3" t="s">
        <v>3781</v>
      </c>
      <c r="C2121" s="3" t="s">
        <v>234</v>
      </c>
      <c r="D2121" s="3" t="s">
        <v>33</v>
      </c>
      <c r="E2121" s="3" t="s">
        <v>3788</v>
      </c>
      <c r="F2121" s="4">
        <v>43693.677777777775</v>
      </c>
      <c r="G2121" s="3"/>
      <c r="H2121" s="3"/>
      <c r="I2121" s="3" t="s">
        <v>7044</v>
      </c>
      <c r="J2121" s="3" t="s">
        <v>7046</v>
      </c>
      <c r="K2121" s="3"/>
      <c r="L2121" s="5"/>
    </row>
    <row r="2122" spans="1:12" ht="28.8" x14ac:dyDescent="0.55000000000000004">
      <c r="A2122" s="9" t="str">
        <f>HYPERLINK("PDF\FOIA-FWS-2020-00724-0002121.pdf","FOIA-FWS-2020-00724-0002121")</f>
        <v>FOIA-FWS-2020-00724-0002121</v>
      </c>
      <c r="B2122" s="3" t="s">
        <v>3781</v>
      </c>
      <c r="C2122" s="3" t="s">
        <v>234</v>
      </c>
      <c r="D2122" s="3" t="s">
        <v>33</v>
      </c>
      <c r="E2122" s="3" t="s">
        <v>3789</v>
      </c>
      <c r="F2122" s="4">
        <v>43693.677777777775</v>
      </c>
      <c r="G2122" s="3"/>
      <c r="H2122" s="3"/>
      <c r="I2122" s="3" t="s">
        <v>7043</v>
      </c>
      <c r="J2122" s="3"/>
      <c r="K2122" s="3"/>
      <c r="L2122" s="5"/>
    </row>
    <row r="2123" spans="1:12" ht="43.2" x14ac:dyDescent="0.55000000000000004">
      <c r="A2123" s="9" t="str">
        <f>HYPERLINK("PDF\FOIA-FWS-2020-00724-0002122.pdf","FOIA-FWS-2020-00724-0002122")</f>
        <v>FOIA-FWS-2020-00724-0002122</v>
      </c>
      <c r="B2123" s="3" t="s">
        <v>3781</v>
      </c>
      <c r="C2123" s="3" t="s">
        <v>234</v>
      </c>
      <c r="D2123" s="3" t="s">
        <v>33</v>
      </c>
      <c r="E2123" s="3" t="s">
        <v>3658</v>
      </c>
      <c r="F2123" s="4">
        <v>43693.677777777775</v>
      </c>
      <c r="G2123" s="3"/>
      <c r="H2123" s="3"/>
      <c r="I2123" s="3" t="s">
        <v>7044</v>
      </c>
      <c r="J2123" s="3" t="s">
        <v>7046</v>
      </c>
      <c r="K2123" s="3" t="s">
        <v>7036</v>
      </c>
      <c r="L2123" s="5"/>
    </row>
    <row r="2124" spans="1:12" ht="28.8" x14ac:dyDescent="0.55000000000000004">
      <c r="A2124" s="9" t="str">
        <f>HYPERLINK("PDF\FOIA-FWS-2020-00724-0002123.pdf","FOIA-FWS-2020-00724-0002123")</f>
        <v>FOIA-FWS-2020-00724-0002123</v>
      </c>
      <c r="B2124" s="3" t="s">
        <v>3790</v>
      </c>
      <c r="C2124" s="3" t="s">
        <v>3</v>
      </c>
      <c r="D2124" s="3" t="s">
        <v>33</v>
      </c>
      <c r="E2124" s="3" t="s">
        <v>3791</v>
      </c>
      <c r="F2124" s="4">
        <v>43694</v>
      </c>
      <c r="G2124" s="3"/>
      <c r="H2124" s="3"/>
      <c r="I2124" s="3" t="s">
        <v>7043</v>
      </c>
      <c r="J2124" s="3"/>
      <c r="K2124" s="3"/>
      <c r="L2124" s="5"/>
    </row>
    <row r="2125" spans="1:12" ht="28.8" x14ac:dyDescent="0.55000000000000004">
      <c r="A2125" s="9" t="str">
        <f>HYPERLINK("PDF\FOIA-FWS-2020-00724-0002124.pdf","FOIA-FWS-2020-00724-0002124")</f>
        <v>FOIA-FWS-2020-00724-0002124</v>
      </c>
      <c r="B2125" s="3" t="s">
        <v>3792</v>
      </c>
      <c r="C2125" s="3" t="s">
        <v>3</v>
      </c>
      <c r="D2125" s="3" t="s">
        <v>33</v>
      </c>
      <c r="E2125" s="3" t="s">
        <v>3793</v>
      </c>
      <c r="F2125" s="4">
        <v>43694</v>
      </c>
      <c r="G2125" s="3"/>
      <c r="H2125" s="3"/>
      <c r="I2125" s="3" t="s">
        <v>7043</v>
      </c>
      <c r="J2125" s="3"/>
      <c r="K2125" s="3"/>
      <c r="L2125" s="5"/>
    </row>
    <row r="2126" spans="1:12" ht="43.2" x14ac:dyDescent="0.55000000000000004">
      <c r="A2126" s="9" t="str">
        <f>HYPERLINK("PDF\FOIA-FWS-2020-00724-0002125.pdf","FOIA-FWS-2020-00724-0002125")</f>
        <v>FOIA-FWS-2020-00724-0002125</v>
      </c>
      <c r="B2126" s="3" t="s">
        <v>3794</v>
      </c>
      <c r="C2126" s="3" t="s">
        <v>3</v>
      </c>
      <c r="D2126" s="3" t="s">
        <v>33</v>
      </c>
      <c r="E2126" s="3" t="s">
        <v>3796</v>
      </c>
      <c r="F2126" s="4">
        <v>43694.739583333336</v>
      </c>
      <c r="G2126" s="3" t="s">
        <v>3560</v>
      </c>
      <c r="H2126" s="3" t="s">
        <v>3795</v>
      </c>
      <c r="I2126" s="3" t="s">
        <v>7044</v>
      </c>
      <c r="J2126" s="3" t="s">
        <v>7046</v>
      </c>
      <c r="K2126" s="3" t="s">
        <v>7036</v>
      </c>
      <c r="L2126" s="5"/>
    </row>
    <row r="2127" spans="1:12" ht="28.8" x14ac:dyDescent="0.55000000000000004">
      <c r="A2127" s="9" t="str">
        <f>HYPERLINK("PDF\FOIA-FWS-2020-00724-0002126.pdf","FOIA-FWS-2020-00724-0002126")</f>
        <v>FOIA-FWS-2020-00724-0002126</v>
      </c>
      <c r="B2127" s="3" t="s">
        <v>3794</v>
      </c>
      <c r="C2127" s="3" t="s">
        <v>234</v>
      </c>
      <c r="D2127" s="3" t="s">
        <v>33</v>
      </c>
      <c r="E2127" s="3" t="s">
        <v>3797</v>
      </c>
      <c r="F2127" s="4">
        <v>43694.739583333336</v>
      </c>
      <c r="G2127" s="3"/>
      <c r="H2127" s="3"/>
      <c r="I2127" s="3" t="s">
        <v>7043</v>
      </c>
      <c r="J2127" s="3"/>
      <c r="K2127" s="3"/>
      <c r="L2127" s="5"/>
    </row>
    <row r="2128" spans="1:12" ht="28.8" x14ac:dyDescent="0.55000000000000004">
      <c r="A2128" s="9" t="str">
        <f>HYPERLINK("PDF\FOIA-FWS-2020-00724-0002127.pdf","FOIA-FWS-2020-00724-0002127")</f>
        <v>FOIA-FWS-2020-00724-0002127</v>
      </c>
      <c r="B2128" s="3" t="s">
        <v>3794</v>
      </c>
      <c r="C2128" s="3" t="s">
        <v>234</v>
      </c>
      <c r="D2128" s="3" t="s">
        <v>33</v>
      </c>
      <c r="E2128" s="3" t="s">
        <v>3798</v>
      </c>
      <c r="F2128" s="4">
        <v>43694.739583333336</v>
      </c>
      <c r="G2128" s="3"/>
      <c r="H2128" s="3"/>
      <c r="I2128" s="3" t="s">
        <v>7043</v>
      </c>
      <c r="J2128" s="3"/>
      <c r="K2128" s="3"/>
      <c r="L2128" s="5"/>
    </row>
    <row r="2129" spans="1:12" ht="28.8" x14ac:dyDescent="0.55000000000000004">
      <c r="A2129" s="9" t="str">
        <f>HYPERLINK("PDF\FOIA-FWS-2020-00724-0002128.pdf","FOIA-FWS-2020-00724-0002128")</f>
        <v>FOIA-FWS-2020-00724-0002128</v>
      </c>
      <c r="B2129" s="3" t="s">
        <v>3799</v>
      </c>
      <c r="C2129" s="3" t="s">
        <v>3</v>
      </c>
      <c r="D2129" s="3" t="s">
        <v>33</v>
      </c>
      <c r="E2129" s="3" t="s">
        <v>3800</v>
      </c>
      <c r="F2129" s="4">
        <v>43696</v>
      </c>
      <c r="G2129" s="3"/>
      <c r="H2129" s="3"/>
      <c r="I2129" s="3" t="s">
        <v>7043</v>
      </c>
      <c r="J2129" s="3"/>
      <c r="K2129" s="3"/>
      <c r="L2129" s="5"/>
    </row>
    <row r="2130" spans="1:12" ht="28.8" x14ac:dyDescent="0.55000000000000004">
      <c r="A2130" s="9" t="str">
        <f>HYPERLINK("PDF\FOIA-FWS-2020-00724-0002129.pdf","FOIA-FWS-2020-00724-0002129")</f>
        <v>FOIA-FWS-2020-00724-0002129</v>
      </c>
      <c r="B2130" s="3" t="s">
        <v>3801</v>
      </c>
      <c r="C2130" s="3" t="s">
        <v>3</v>
      </c>
      <c r="D2130" s="3" t="s">
        <v>33</v>
      </c>
      <c r="E2130" s="3" t="s">
        <v>3802</v>
      </c>
      <c r="F2130" s="4">
        <v>43696</v>
      </c>
      <c r="G2130" s="3"/>
      <c r="H2130" s="3"/>
      <c r="I2130" s="3" t="s">
        <v>7043</v>
      </c>
      <c r="J2130" s="3"/>
      <c r="K2130" s="3"/>
      <c r="L2130" s="5"/>
    </row>
    <row r="2131" spans="1:12" ht="28.8" x14ac:dyDescent="0.55000000000000004">
      <c r="A2131" s="9" t="str">
        <f>HYPERLINK("PDF\FOIA-FWS-2020-00724-0002130.pdf","FOIA-FWS-2020-00724-0002130")</f>
        <v>FOIA-FWS-2020-00724-0002130</v>
      </c>
      <c r="B2131" s="3" t="s">
        <v>3803</v>
      </c>
      <c r="C2131" s="3" t="s">
        <v>3</v>
      </c>
      <c r="D2131" s="3" t="s">
        <v>33</v>
      </c>
      <c r="E2131" s="3" t="s">
        <v>3804</v>
      </c>
      <c r="F2131" s="4">
        <v>43696</v>
      </c>
      <c r="G2131" s="3"/>
      <c r="H2131" s="3"/>
      <c r="I2131" s="3" t="s">
        <v>7043</v>
      </c>
      <c r="J2131" s="3"/>
      <c r="K2131" s="3"/>
      <c r="L2131" s="5"/>
    </row>
    <row r="2132" spans="1:12" ht="28.8" x14ac:dyDescent="0.55000000000000004">
      <c r="A2132" s="9" t="str">
        <f>HYPERLINK("PDF\FOIA-FWS-2020-00724-0002131.pdf","FOIA-FWS-2020-00724-0002131")</f>
        <v>FOIA-FWS-2020-00724-0002131</v>
      </c>
      <c r="B2132" s="3" t="s">
        <v>3805</v>
      </c>
      <c r="C2132" s="3" t="s">
        <v>3</v>
      </c>
      <c r="D2132" s="3" t="s">
        <v>33</v>
      </c>
      <c r="E2132" s="3" t="s">
        <v>3806</v>
      </c>
      <c r="F2132" s="4">
        <v>43696</v>
      </c>
      <c r="G2132" s="3"/>
      <c r="H2132" s="3"/>
      <c r="I2132" s="3" t="s">
        <v>7043</v>
      </c>
      <c r="J2132" s="3"/>
      <c r="K2132" s="3"/>
      <c r="L2132" s="5"/>
    </row>
    <row r="2133" spans="1:12" ht="28.8" x14ac:dyDescent="0.55000000000000004">
      <c r="A2133" s="9" t="str">
        <f>HYPERLINK("PDF\FOIA-FWS-2020-00724-0002132.pdf","FOIA-FWS-2020-00724-0002132")</f>
        <v>FOIA-FWS-2020-00724-0002132</v>
      </c>
      <c r="B2133" s="3" t="s">
        <v>3807</v>
      </c>
      <c r="C2133" s="3" t="s">
        <v>3</v>
      </c>
      <c r="D2133" s="3" t="s">
        <v>4</v>
      </c>
      <c r="E2133" s="3" t="s">
        <v>3808</v>
      </c>
      <c r="F2133" s="4">
        <v>43696</v>
      </c>
      <c r="G2133" s="3"/>
      <c r="H2133" s="3"/>
      <c r="I2133" s="3" t="s">
        <v>7043</v>
      </c>
      <c r="J2133" s="3"/>
      <c r="K2133" s="3"/>
      <c r="L2133" s="5"/>
    </row>
    <row r="2134" spans="1:12" ht="43.2" x14ac:dyDescent="0.55000000000000004">
      <c r="A2134" s="9" t="str">
        <f>HYPERLINK("PDF\FOIA-FWS-2020-00724-0002133.pdf","FOIA-FWS-2020-00724-0002133")</f>
        <v>FOIA-FWS-2020-00724-0002133</v>
      </c>
      <c r="B2134" s="3" t="s">
        <v>3809</v>
      </c>
      <c r="C2134" s="3" t="s">
        <v>3</v>
      </c>
      <c r="D2134" s="3" t="s">
        <v>33</v>
      </c>
      <c r="E2134" s="3" t="s">
        <v>3810</v>
      </c>
      <c r="F2134" s="4">
        <v>43696.484722222223</v>
      </c>
      <c r="G2134" s="3" t="s">
        <v>872</v>
      </c>
      <c r="H2134" s="3" t="s">
        <v>955</v>
      </c>
      <c r="I2134" s="3" t="s">
        <v>7043</v>
      </c>
      <c r="J2134" s="3"/>
      <c r="K2134" s="3"/>
      <c r="L2134" s="5"/>
    </row>
    <row r="2135" spans="1:12" ht="43.2" x14ac:dyDescent="0.55000000000000004">
      <c r="A2135" s="9" t="str">
        <f>HYPERLINK("PDF\FOIA-FWS-2020-00724-0002134.pdf","FOIA-FWS-2020-00724-0002134")</f>
        <v>FOIA-FWS-2020-00724-0002134</v>
      </c>
      <c r="B2135" s="3" t="s">
        <v>3811</v>
      </c>
      <c r="C2135" s="3" t="s">
        <v>3</v>
      </c>
      <c r="D2135" s="3" t="s">
        <v>33</v>
      </c>
      <c r="E2135" s="3" t="s">
        <v>3812</v>
      </c>
      <c r="F2135" s="4">
        <v>43696.568749999999</v>
      </c>
      <c r="G2135" s="3" t="s">
        <v>963</v>
      </c>
      <c r="H2135" s="3" t="s">
        <v>1715</v>
      </c>
      <c r="I2135" s="3" t="s">
        <v>7044</v>
      </c>
      <c r="J2135" s="3" t="s">
        <v>7046</v>
      </c>
      <c r="K2135" s="3" t="s">
        <v>7036</v>
      </c>
      <c r="L2135" s="5"/>
    </row>
    <row r="2136" spans="1:12" ht="28.8" x14ac:dyDescent="0.55000000000000004">
      <c r="A2136" s="9" t="str">
        <f>HYPERLINK("PDF\FOIA-FWS-2020-00724-0002135.pdf","FOIA-FWS-2020-00724-0002135")</f>
        <v>FOIA-FWS-2020-00724-0002135</v>
      </c>
      <c r="B2136" s="3" t="s">
        <v>3813</v>
      </c>
      <c r="C2136" s="3" t="s">
        <v>3</v>
      </c>
      <c r="D2136" s="3" t="s">
        <v>33</v>
      </c>
      <c r="E2136" s="3" t="s">
        <v>3814</v>
      </c>
      <c r="F2136" s="4">
        <v>43696.711805555555</v>
      </c>
      <c r="G2136" s="3" t="s">
        <v>963</v>
      </c>
      <c r="H2136" s="3" t="s">
        <v>3560</v>
      </c>
      <c r="I2136" s="3" t="s">
        <v>7043</v>
      </c>
      <c r="J2136" s="3"/>
      <c r="K2136" s="3"/>
      <c r="L2136" s="5"/>
    </row>
    <row r="2137" spans="1:12" ht="28.8" x14ac:dyDescent="0.55000000000000004">
      <c r="A2137" s="9" t="str">
        <f>HYPERLINK("PDF\FOIA-FWS-2020-00724-0002136.pdf","FOIA-FWS-2020-00724-0002136")</f>
        <v>FOIA-FWS-2020-00724-0002136</v>
      </c>
      <c r="B2137" s="3" t="s">
        <v>3813</v>
      </c>
      <c r="C2137" s="3" t="s">
        <v>234</v>
      </c>
      <c r="D2137" s="3" t="s">
        <v>33</v>
      </c>
      <c r="E2137" s="3" t="s">
        <v>3815</v>
      </c>
      <c r="F2137" s="4">
        <v>43696.711805555555</v>
      </c>
      <c r="G2137" s="3"/>
      <c r="H2137" s="3"/>
      <c r="I2137" s="3" t="s">
        <v>7043</v>
      </c>
      <c r="J2137" s="3"/>
      <c r="K2137" s="3"/>
      <c r="L2137" s="5"/>
    </row>
    <row r="2138" spans="1:12" ht="28.8" x14ac:dyDescent="0.55000000000000004">
      <c r="A2138" s="9" t="str">
        <f>HYPERLINK("PDF\FOIA-FWS-2020-00724-0002137.pdf","FOIA-FWS-2020-00724-0002137")</f>
        <v>FOIA-FWS-2020-00724-0002137</v>
      </c>
      <c r="B2138" s="3" t="s">
        <v>3813</v>
      </c>
      <c r="C2138" s="3" t="s">
        <v>234</v>
      </c>
      <c r="D2138" s="3" t="s">
        <v>33</v>
      </c>
      <c r="E2138" s="3" t="s">
        <v>3816</v>
      </c>
      <c r="F2138" s="4">
        <v>43696.711805555555</v>
      </c>
      <c r="G2138" s="3"/>
      <c r="H2138" s="3"/>
      <c r="I2138" s="3" t="s">
        <v>7043</v>
      </c>
      <c r="J2138" s="3"/>
      <c r="K2138" s="3"/>
      <c r="L2138" s="5"/>
    </row>
    <row r="2139" spans="1:12" ht="28.8" x14ac:dyDescent="0.55000000000000004">
      <c r="A2139" s="9" t="str">
        <f>HYPERLINK("PDF\FOIA-FWS-2020-00724-0002138.pdf","FOIA-FWS-2020-00724-0002138")</f>
        <v>FOIA-FWS-2020-00724-0002138</v>
      </c>
      <c r="B2139" s="3" t="s">
        <v>3813</v>
      </c>
      <c r="C2139" s="3" t="s">
        <v>234</v>
      </c>
      <c r="D2139" s="3" t="s">
        <v>33</v>
      </c>
      <c r="E2139" s="3" t="s">
        <v>3817</v>
      </c>
      <c r="F2139" s="4">
        <v>43696.711805555555</v>
      </c>
      <c r="G2139" s="3"/>
      <c r="H2139" s="3"/>
      <c r="I2139" s="3" t="s">
        <v>7043</v>
      </c>
      <c r="J2139" s="3"/>
      <c r="K2139" s="3"/>
      <c r="L2139" s="5"/>
    </row>
    <row r="2140" spans="1:12" ht="28.8" x14ac:dyDescent="0.55000000000000004">
      <c r="A2140" s="9" t="str">
        <f>HYPERLINK("PDF\FOIA-FWS-2020-00724-0002139.pdf","FOIA-FWS-2020-00724-0002139")</f>
        <v>FOIA-FWS-2020-00724-0002139</v>
      </c>
      <c r="B2140" s="3" t="s">
        <v>3813</v>
      </c>
      <c r="C2140" s="3" t="s">
        <v>234</v>
      </c>
      <c r="D2140" s="3" t="s">
        <v>33</v>
      </c>
      <c r="E2140" s="3" t="s">
        <v>3818</v>
      </c>
      <c r="F2140" s="4">
        <v>43696.711805555555</v>
      </c>
      <c r="G2140" s="3"/>
      <c r="H2140" s="3"/>
      <c r="I2140" s="3" t="s">
        <v>7043</v>
      </c>
      <c r="J2140" s="3"/>
      <c r="K2140" s="3"/>
      <c r="L2140" s="5"/>
    </row>
    <row r="2141" spans="1:12" ht="28.8" x14ac:dyDescent="0.55000000000000004">
      <c r="A2141" s="9" t="str">
        <f>HYPERLINK("PDF\FOIA-FWS-2020-00724-0002140.pdf","FOIA-FWS-2020-00724-0002140")</f>
        <v>FOIA-FWS-2020-00724-0002140</v>
      </c>
      <c r="B2141" s="3" t="s">
        <v>3819</v>
      </c>
      <c r="C2141" s="3" t="s">
        <v>3</v>
      </c>
      <c r="D2141" s="3" t="s">
        <v>33</v>
      </c>
      <c r="E2141" s="3" t="s">
        <v>3821</v>
      </c>
      <c r="F2141" s="4">
        <v>43697.422222222223</v>
      </c>
      <c r="G2141" s="3" t="s">
        <v>872</v>
      </c>
      <c r="H2141" s="3" t="s">
        <v>3820</v>
      </c>
      <c r="I2141" s="3" t="s">
        <v>7043</v>
      </c>
      <c r="J2141" s="3"/>
      <c r="K2141" s="3"/>
      <c r="L2141" s="5"/>
    </row>
    <row r="2142" spans="1:12" ht="28.8" x14ac:dyDescent="0.55000000000000004">
      <c r="A2142" s="9" t="str">
        <f>HYPERLINK("PDF\FOIA-FWS-2020-00724-0002141.pdf","FOIA-FWS-2020-00724-0002141")</f>
        <v>FOIA-FWS-2020-00724-0002141</v>
      </c>
      <c r="B2142" s="3" t="s">
        <v>3822</v>
      </c>
      <c r="C2142" s="3" t="s">
        <v>3</v>
      </c>
      <c r="D2142" s="3" t="s">
        <v>160</v>
      </c>
      <c r="E2142" s="3" t="s">
        <v>1357</v>
      </c>
      <c r="F2142" s="4">
        <v>43698</v>
      </c>
      <c r="G2142" s="3"/>
      <c r="H2142" s="3"/>
      <c r="I2142" s="3" t="s">
        <v>7043</v>
      </c>
      <c r="J2142" s="3"/>
      <c r="K2142" s="3"/>
      <c r="L2142" s="5"/>
    </row>
    <row r="2143" spans="1:12" ht="28.8" x14ac:dyDescent="0.55000000000000004">
      <c r="A2143" s="9" t="str">
        <f>HYPERLINK("PDF\FOIA-FWS-2020-00724-0002142.pdf","FOIA-FWS-2020-00724-0002142")</f>
        <v>FOIA-FWS-2020-00724-0002142</v>
      </c>
      <c r="B2143" s="3" t="s">
        <v>3823</v>
      </c>
      <c r="C2143" s="3" t="s">
        <v>3</v>
      </c>
      <c r="D2143" s="3" t="s">
        <v>33</v>
      </c>
      <c r="E2143" s="3" t="s">
        <v>3824</v>
      </c>
      <c r="F2143" s="4">
        <v>43698.466666666667</v>
      </c>
      <c r="G2143" s="3" t="s">
        <v>963</v>
      </c>
      <c r="H2143" s="3" t="s">
        <v>955</v>
      </c>
      <c r="I2143" s="3" t="s">
        <v>7043</v>
      </c>
      <c r="J2143" s="3"/>
      <c r="K2143" s="3"/>
      <c r="L2143" s="5"/>
    </row>
    <row r="2144" spans="1:12" ht="28.8" x14ac:dyDescent="0.55000000000000004">
      <c r="A2144" s="9" t="str">
        <f>HYPERLINK("PDF\FOIA-FWS-2020-00724-0002143.pdf","FOIA-FWS-2020-00724-0002143")</f>
        <v>FOIA-FWS-2020-00724-0002143</v>
      </c>
      <c r="B2144" s="3" t="s">
        <v>3823</v>
      </c>
      <c r="C2144" s="3" t="s">
        <v>234</v>
      </c>
      <c r="D2144" s="3" t="s">
        <v>4</v>
      </c>
      <c r="E2144" s="3" t="s">
        <v>3825</v>
      </c>
      <c r="F2144" s="4">
        <v>43698.466666666667</v>
      </c>
      <c r="G2144" s="3"/>
      <c r="H2144" s="3"/>
      <c r="I2144" s="3" t="s">
        <v>7043</v>
      </c>
      <c r="J2144" s="3"/>
      <c r="K2144" s="3"/>
      <c r="L2144" s="5"/>
    </row>
    <row r="2145" spans="1:12" ht="28.8" x14ac:dyDescent="0.55000000000000004">
      <c r="A2145" s="9" t="str">
        <f>HYPERLINK("PDF\FOIA-FWS-2020-00724-0002144.pdf","FOIA-FWS-2020-00724-0002144")</f>
        <v>FOIA-FWS-2020-00724-0002144</v>
      </c>
      <c r="B2145" s="3" t="s">
        <v>3826</v>
      </c>
      <c r="C2145" s="3" t="s">
        <v>3</v>
      </c>
      <c r="D2145" s="3" t="s">
        <v>33</v>
      </c>
      <c r="E2145" s="3" t="s">
        <v>3827</v>
      </c>
      <c r="F2145" s="4">
        <v>43698.636805555558</v>
      </c>
      <c r="G2145" s="3" t="s">
        <v>955</v>
      </c>
      <c r="H2145" s="3" t="s">
        <v>963</v>
      </c>
      <c r="I2145" s="3" t="s">
        <v>7043</v>
      </c>
      <c r="J2145" s="3"/>
      <c r="K2145" s="3"/>
      <c r="L2145" s="5"/>
    </row>
    <row r="2146" spans="1:12" ht="72" x14ac:dyDescent="0.55000000000000004">
      <c r="A2146" s="9" t="str">
        <f>HYPERLINK("PDF\FOIA-FWS-2020-00724-0002145.pdf","FOIA-FWS-2020-00724-0002145")</f>
        <v>FOIA-FWS-2020-00724-0002145</v>
      </c>
      <c r="B2146" s="3" t="s">
        <v>3828</v>
      </c>
      <c r="C2146" s="3" t="s">
        <v>3</v>
      </c>
      <c r="D2146" s="3" t="s">
        <v>33</v>
      </c>
      <c r="E2146" s="3" t="s">
        <v>3829</v>
      </c>
      <c r="F2146" s="4">
        <v>43698.700694444444</v>
      </c>
      <c r="G2146" s="3" t="s">
        <v>963</v>
      </c>
      <c r="H2146" s="3" t="s">
        <v>955</v>
      </c>
      <c r="I2146" s="3" t="s">
        <v>7043</v>
      </c>
      <c r="J2146" s="3"/>
      <c r="K2146" s="3"/>
      <c r="L2146" s="5"/>
    </row>
    <row r="2147" spans="1:12" ht="43.2" x14ac:dyDescent="0.55000000000000004">
      <c r="A2147" s="9" t="str">
        <f>HYPERLINK("PDF\FOIA-FWS-2020-00724-0002146.pdf","FOIA-FWS-2020-00724-0002146")</f>
        <v>FOIA-FWS-2020-00724-0002146</v>
      </c>
      <c r="B2147" s="3" t="s">
        <v>3830</v>
      </c>
      <c r="C2147" s="3" t="s">
        <v>3</v>
      </c>
      <c r="D2147" s="3" t="s">
        <v>33</v>
      </c>
      <c r="E2147" s="3" t="s">
        <v>3831</v>
      </c>
      <c r="F2147" s="4">
        <v>43698.768750000003</v>
      </c>
      <c r="G2147" s="3" t="s">
        <v>963</v>
      </c>
      <c r="H2147" s="3" t="s">
        <v>872</v>
      </c>
      <c r="I2147" s="3" t="s">
        <v>7044</v>
      </c>
      <c r="J2147" s="3" t="s">
        <v>7046</v>
      </c>
      <c r="K2147" s="3" t="s">
        <v>7036</v>
      </c>
      <c r="L2147" s="5"/>
    </row>
    <row r="2148" spans="1:12" ht="43.2" x14ac:dyDescent="0.55000000000000004">
      <c r="A2148" t="s">
        <v>7027</v>
      </c>
      <c r="B2148" s="3" t="s">
        <v>3830</v>
      </c>
      <c r="C2148" s="3" t="s">
        <v>234</v>
      </c>
      <c r="D2148" s="3" t="s">
        <v>33</v>
      </c>
      <c r="E2148" s="3" t="s">
        <v>3758</v>
      </c>
      <c r="F2148" s="4">
        <v>43698.768750000003</v>
      </c>
      <c r="G2148" s="3"/>
      <c r="H2148" s="3"/>
      <c r="I2148" s="3" t="s">
        <v>7044</v>
      </c>
      <c r="J2148" s="3" t="s">
        <v>7046</v>
      </c>
      <c r="K2148" s="3"/>
      <c r="L2148" s="5"/>
    </row>
    <row r="2149" spans="1:12" ht="28.8" x14ac:dyDescent="0.55000000000000004">
      <c r="A2149" s="9" t="str">
        <f>HYPERLINK("PDF\FOIA-FWS-2020-00724-0002148.pdf","FOIA-FWS-2020-00724-0002148")</f>
        <v>FOIA-FWS-2020-00724-0002148</v>
      </c>
      <c r="B2149" s="3" t="s">
        <v>3830</v>
      </c>
      <c r="C2149" s="3" t="s">
        <v>234</v>
      </c>
      <c r="D2149" s="3" t="s">
        <v>33</v>
      </c>
      <c r="E2149" s="3" t="s">
        <v>3786</v>
      </c>
      <c r="F2149" s="4">
        <v>43698.768750000003</v>
      </c>
      <c r="G2149" s="3"/>
      <c r="H2149" s="3"/>
      <c r="I2149" s="3" t="s">
        <v>7043</v>
      </c>
      <c r="J2149" s="3"/>
      <c r="K2149" s="3"/>
      <c r="L2149" s="5"/>
    </row>
    <row r="2150" spans="1:12" ht="28.8" x14ac:dyDescent="0.55000000000000004">
      <c r="A2150" s="9" t="str">
        <f>HYPERLINK("PDF\FOIA-FWS-2020-00724-0002149.pdf","FOIA-FWS-2020-00724-0002149")</f>
        <v>FOIA-FWS-2020-00724-0002149</v>
      </c>
      <c r="B2150" s="3" t="s">
        <v>3830</v>
      </c>
      <c r="C2150" s="3" t="s">
        <v>234</v>
      </c>
      <c r="D2150" s="3" t="s">
        <v>33</v>
      </c>
      <c r="E2150" s="3" t="s">
        <v>3817</v>
      </c>
      <c r="F2150" s="4">
        <v>43698.768750000003</v>
      </c>
      <c r="G2150" s="3"/>
      <c r="H2150" s="3"/>
      <c r="I2150" s="3" t="s">
        <v>7043</v>
      </c>
      <c r="J2150" s="3"/>
      <c r="K2150" s="3"/>
      <c r="L2150" s="5"/>
    </row>
    <row r="2151" spans="1:12" ht="43.2" x14ac:dyDescent="0.55000000000000004">
      <c r="A2151" t="s">
        <v>7028</v>
      </c>
      <c r="B2151" s="3" t="s">
        <v>3830</v>
      </c>
      <c r="C2151" s="3" t="s">
        <v>234</v>
      </c>
      <c r="D2151" s="3" t="s">
        <v>33</v>
      </c>
      <c r="E2151" s="3" t="s">
        <v>3832</v>
      </c>
      <c r="F2151" s="4">
        <v>43698.768750000003</v>
      </c>
      <c r="G2151" s="3"/>
      <c r="H2151" s="3"/>
      <c r="I2151" s="3" t="s">
        <v>7044</v>
      </c>
      <c r="J2151" s="3" t="s">
        <v>7046</v>
      </c>
      <c r="K2151" s="3"/>
      <c r="L2151" s="5"/>
    </row>
    <row r="2152" spans="1:12" ht="28.8" x14ac:dyDescent="0.55000000000000004">
      <c r="A2152" s="9" t="str">
        <f>HYPERLINK("PDF\FOIA-FWS-2020-00724-0002151.pdf","FOIA-FWS-2020-00724-0002151")</f>
        <v>FOIA-FWS-2020-00724-0002151</v>
      </c>
      <c r="B2152" s="3" t="s">
        <v>3833</v>
      </c>
      <c r="C2152" s="3" t="s">
        <v>3</v>
      </c>
      <c r="D2152" s="3" t="s">
        <v>33</v>
      </c>
      <c r="E2152" s="3" t="s">
        <v>3834</v>
      </c>
      <c r="F2152" s="4">
        <v>43699</v>
      </c>
      <c r="G2152" s="3"/>
      <c r="H2152" s="3"/>
      <c r="I2152" s="3" t="s">
        <v>7043</v>
      </c>
      <c r="J2152" s="3"/>
      <c r="K2152" s="3"/>
      <c r="L2152" s="5"/>
    </row>
    <row r="2153" spans="1:12" ht="28.8" x14ac:dyDescent="0.55000000000000004">
      <c r="A2153" s="9" t="str">
        <f>HYPERLINK("PDF\FOIA-FWS-2020-00724-0002152.pdf","FOIA-FWS-2020-00724-0002152")</f>
        <v>FOIA-FWS-2020-00724-0002152</v>
      </c>
      <c r="B2153" s="3" t="s">
        <v>3835</v>
      </c>
      <c r="C2153" s="3" t="s">
        <v>3</v>
      </c>
      <c r="D2153" s="3" t="s">
        <v>33</v>
      </c>
      <c r="E2153" s="3" t="s">
        <v>3836</v>
      </c>
      <c r="F2153" s="4">
        <v>43700.47152777778</v>
      </c>
      <c r="G2153" s="3" t="s">
        <v>3560</v>
      </c>
      <c r="H2153" s="3" t="s">
        <v>1135</v>
      </c>
      <c r="I2153" s="3" t="s">
        <v>7043</v>
      </c>
      <c r="J2153" s="3"/>
      <c r="K2153" s="3"/>
      <c r="L2153" s="5"/>
    </row>
    <row r="2154" spans="1:12" ht="28.8" x14ac:dyDescent="0.55000000000000004">
      <c r="A2154" s="9" t="str">
        <f>HYPERLINK("PDF\FOIA-FWS-2020-00724-0002153.PDF","FOIA-FWS-2020-00724-0002153")</f>
        <v>FOIA-FWS-2020-00724-0002153</v>
      </c>
      <c r="B2154" s="3" t="s">
        <v>3835</v>
      </c>
      <c r="C2154" s="3" t="s">
        <v>234</v>
      </c>
      <c r="D2154" s="3" t="s">
        <v>33</v>
      </c>
      <c r="E2154" s="3" t="s">
        <v>3837</v>
      </c>
      <c r="F2154" s="4">
        <v>43700.47152777778</v>
      </c>
      <c r="G2154" s="3"/>
      <c r="H2154" s="3"/>
      <c r="I2154" s="3" t="s">
        <v>7043</v>
      </c>
      <c r="J2154" s="3"/>
      <c r="K2154" s="3"/>
      <c r="L2154" s="5"/>
    </row>
    <row r="2155" spans="1:12" ht="28.8" x14ac:dyDescent="0.55000000000000004">
      <c r="A2155" s="9" t="str">
        <f>HYPERLINK("PDF\FOIA-FWS-2020-00724-0002154.pdf","FOIA-FWS-2020-00724-0002154")</f>
        <v>FOIA-FWS-2020-00724-0002154</v>
      </c>
      <c r="B2155" s="3" t="s">
        <v>3835</v>
      </c>
      <c r="C2155" s="3" t="s">
        <v>234</v>
      </c>
      <c r="D2155" s="3" t="s">
        <v>33</v>
      </c>
      <c r="E2155" s="3" t="s">
        <v>3838</v>
      </c>
      <c r="F2155" s="4">
        <v>43700.47152777778</v>
      </c>
      <c r="G2155" s="3"/>
      <c r="H2155" s="3"/>
      <c r="I2155" s="3" t="s">
        <v>7043</v>
      </c>
      <c r="J2155" s="3"/>
      <c r="K2155" s="3"/>
      <c r="L2155" s="5"/>
    </row>
    <row r="2156" spans="1:12" ht="28.8" x14ac:dyDescent="0.55000000000000004">
      <c r="A2156" s="9" t="str">
        <f>HYPERLINK("PDF\FOIA-FWS-2020-00724-0002155.pdf","FOIA-FWS-2020-00724-0002155")</f>
        <v>FOIA-FWS-2020-00724-0002155</v>
      </c>
      <c r="B2156" s="3" t="s">
        <v>3835</v>
      </c>
      <c r="C2156" s="3" t="s">
        <v>234</v>
      </c>
      <c r="D2156" s="3" t="s">
        <v>33</v>
      </c>
      <c r="E2156" s="3" t="s">
        <v>3839</v>
      </c>
      <c r="F2156" s="4">
        <v>43700.47152777778</v>
      </c>
      <c r="G2156" s="3"/>
      <c r="H2156" s="3"/>
      <c r="I2156" s="3" t="s">
        <v>7043</v>
      </c>
      <c r="J2156" s="3"/>
      <c r="K2156" s="3"/>
      <c r="L2156" s="5"/>
    </row>
    <row r="2157" spans="1:12" ht="28.8" x14ac:dyDescent="0.55000000000000004">
      <c r="A2157" s="9" t="str">
        <f>HYPERLINK("PDF\FOIA-FWS-2020-00724-0002156.pdf","FOIA-FWS-2020-00724-0002156")</f>
        <v>FOIA-FWS-2020-00724-0002156</v>
      </c>
      <c r="B2157" s="3" t="s">
        <v>3840</v>
      </c>
      <c r="C2157" s="3" t="s">
        <v>3</v>
      </c>
      <c r="D2157" s="3" t="s">
        <v>33</v>
      </c>
      <c r="E2157" s="3" t="s">
        <v>3841</v>
      </c>
      <c r="F2157" s="4">
        <v>43700.511111111111</v>
      </c>
      <c r="G2157" s="3" t="s">
        <v>955</v>
      </c>
      <c r="H2157" s="3" t="s">
        <v>872</v>
      </c>
      <c r="I2157" s="3" t="s">
        <v>7043</v>
      </c>
      <c r="J2157" s="3"/>
      <c r="K2157" s="3"/>
      <c r="L2157" s="5"/>
    </row>
    <row r="2158" spans="1:12" ht="100.8" x14ac:dyDescent="0.55000000000000004">
      <c r="A2158" s="9" t="str">
        <f>HYPERLINK("PDF\FOIA-FWS-2020-00724-0002157.pdf","FOIA-FWS-2020-00724-0002157")</f>
        <v>FOIA-FWS-2020-00724-0002157</v>
      </c>
      <c r="B2158" s="3" t="s">
        <v>3842</v>
      </c>
      <c r="C2158" s="3" t="s">
        <v>3</v>
      </c>
      <c r="D2158" s="3" t="s">
        <v>33</v>
      </c>
      <c r="E2158" s="3" t="s">
        <v>3843</v>
      </c>
      <c r="F2158" s="4">
        <v>43700.556944444441</v>
      </c>
      <c r="G2158" s="3" t="s">
        <v>963</v>
      </c>
      <c r="H2158" s="3" t="s">
        <v>955</v>
      </c>
      <c r="I2158" s="3" t="s">
        <v>7043</v>
      </c>
      <c r="J2158" s="3"/>
      <c r="K2158" s="3"/>
      <c r="L2158" s="5"/>
    </row>
    <row r="2159" spans="1:12" ht="28.8" x14ac:dyDescent="0.55000000000000004">
      <c r="A2159" s="9" t="str">
        <f>HYPERLINK("PDF\FOIA-FWS-2020-00724-0002158.pdf","FOIA-FWS-2020-00724-0002158")</f>
        <v>FOIA-FWS-2020-00724-0002158</v>
      </c>
      <c r="B2159" s="3" t="s">
        <v>3844</v>
      </c>
      <c r="C2159" s="3" t="s">
        <v>3</v>
      </c>
      <c r="D2159" s="3" t="s">
        <v>33</v>
      </c>
      <c r="E2159" s="3" t="s">
        <v>3845</v>
      </c>
      <c r="F2159" s="4">
        <v>43700.561805555553</v>
      </c>
      <c r="G2159" s="3" t="s">
        <v>1119</v>
      </c>
      <c r="H2159" s="3" t="s">
        <v>955</v>
      </c>
      <c r="I2159" s="3" t="s">
        <v>7043</v>
      </c>
      <c r="J2159" s="3"/>
      <c r="K2159" s="3"/>
      <c r="L2159" s="5"/>
    </row>
    <row r="2160" spans="1:12" ht="28.8" x14ac:dyDescent="0.55000000000000004">
      <c r="A2160" s="9" t="str">
        <f>HYPERLINK("PDF\FOIA-FWS-2020-00724-0002159.pdf","FOIA-FWS-2020-00724-0002159")</f>
        <v>FOIA-FWS-2020-00724-0002159</v>
      </c>
      <c r="B2160" s="3" t="s">
        <v>3844</v>
      </c>
      <c r="C2160" s="3" t="s">
        <v>234</v>
      </c>
      <c r="D2160" s="3" t="s">
        <v>160</v>
      </c>
      <c r="E2160" s="3" t="s">
        <v>3846</v>
      </c>
      <c r="F2160" s="4">
        <v>43700.561805555553</v>
      </c>
      <c r="G2160" s="3"/>
      <c r="H2160" s="3"/>
      <c r="I2160" s="3" t="s">
        <v>7043</v>
      </c>
      <c r="J2160" s="3"/>
      <c r="K2160" s="3"/>
      <c r="L2160" s="5" t="str">
        <f>HYPERLINK("NATIVE_FILES\FOIA-FWS-2020-00724-0002159.dbf","FOIA-FWS-2020-00724-0002159.dbf")</f>
        <v>FOIA-FWS-2020-00724-0002159.dbf</v>
      </c>
    </row>
    <row r="2161" spans="1:12" ht="28.8" x14ac:dyDescent="0.55000000000000004">
      <c r="A2161" s="9" t="str">
        <f>HYPERLINK("PDF\FOIA-FWS-2020-00724-0002160.pdf","FOIA-FWS-2020-00724-0002160")</f>
        <v>FOIA-FWS-2020-00724-0002160</v>
      </c>
      <c r="B2161" s="3" t="s">
        <v>3844</v>
      </c>
      <c r="C2161" s="3" t="s">
        <v>234</v>
      </c>
      <c r="D2161" s="3" t="s">
        <v>160</v>
      </c>
      <c r="E2161" s="3" t="s">
        <v>3847</v>
      </c>
      <c r="F2161" s="4">
        <v>43700.561805555553</v>
      </c>
      <c r="G2161" s="3"/>
      <c r="H2161" s="3"/>
      <c r="I2161" s="3" t="s">
        <v>7043</v>
      </c>
      <c r="J2161" s="3"/>
      <c r="K2161" s="3"/>
      <c r="L2161" s="5" t="str">
        <f>HYPERLINK("NATIVE_FILES\FOIA-FWS-2020-00724-0002160.prj","FOIA-FWS-2020-00724-0002160.prj")</f>
        <v>FOIA-FWS-2020-00724-0002160.prj</v>
      </c>
    </row>
    <row r="2162" spans="1:12" ht="28.8" x14ac:dyDescent="0.55000000000000004">
      <c r="A2162" s="9" t="str">
        <f>HYPERLINK("PDF\FOIA-FWS-2020-00724-0002161.pdf","FOIA-FWS-2020-00724-0002161")</f>
        <v>FOIA-FWS-2020-00724-0002161</v>
      </c>
      <c r="B2162" s="3" t="s">
        <v>3844</v>
      </c>
      <c r="C2162" s="3" t="s">
        <v>234</v>
      </c>
      <c r="D2162" s="3" t="s">
        <v>160</v>
      </c>
      <c r="E2162" s="3" t="s">
        <v>3848</v>
      </c>
      <c r="F2162" s="4">
        <v>43700.561805555553</v>
      </c>
      <c r="G2162" s="3"/>
      <c r="H2162" s="3"/>
      <c r="I2162" s="3" t="s">
        <v>7043</v>
      </c>
      <c r="J2162" s="3"/>
      <c r="K2162" s="3"/>
      <c r="L2162" s="5" t="str">
        <f>HYPERLINK("NATIVE_FILES\FOIA-FWS-2020-00724-0002161.sbn","FOIA-FWS-2020-00724-0002161.sbn")</f>
        <v>FOIA-FWS-2020-00724-0002161.sbn</v>
      </c>
    </row>
    <row r="2163" spans="1:12" ht="28.8" x14ac:dyDescent="0.55000000000000004">
      <c r="A2163" s="9" t="str">
        <f>HYPERLINK("PDF\FOIA-FWS-2020-00724-0002162.pdf","FOIA-FWS-2020-00724-0002162")</f>
        <v>FOIA-FWS-2020-00724-0002162</v>
      </c>
      <c r="B2163" s="3" t="s">
        <v>3844</v>
      </c>
      <c r="C2163" s="3" t="s">
        <v>234</v>
      </c>
      <c r="D2163" s="3" t="s">
        <v>160</v>
      </c>
      <c r="E2163" s="3" t="s">
        <v>3849</v>
      </c>
      <c r="F2163" s="4">
        <v>43700.561805555553</v>
      </c>
      <c r="G2163" s="3"/>
      <c r="H2163" s="3"/>
      <c r="I2163" s="3" t="s">
        <v>7043</v>
      </c>
      <c r="J2163" s="3"/>
      <c r="K2163" s="3"/>
      <c r="L2163" s="5" t="str">
        <f>HYPERLINK("NATIVE_FILES\FOIA-FWS-2020-00724-0002162.sbx","FOIA-FWS-2020-00724-0002162.sbx")</f>
        <v>FOIA-FWS-2020-00724-0002162.sbx</v>
      </c>
    </row>
    <row r="2164" spans="1:12" ht="28.8" x14ac:dyDescent="0.55000000000000004">
      <c r="A2164" s="9" t="str">
        <f>HYPERLINK("PDF\FOIA-FWS-2020-00724-0002163.pdf","FOIA-FWS-2020-00724-0002163")</f>
        <v>FOIA-FWS-2020-00724-0002163</v>
      </c>
      <c r="B2164" s="3" t="s">
        <v>3844</v>
      </c>
      <c r="C2164" s="3" t="s">
        <v>234</v>
      </c>
      <c r="D2164" s="3" t="s">
        <v>160</v>
      </c>
      <c r="E2164" s="3" t="s">
        <v>3850</v>
      </c>
      <c r="F2164" s="4">
        <v>43700.561805555553</v>
      </c>
      <c r="G2164" s="3"/>
      <c r="H2164" s="3"/>
      <c r="I2164" s="3" t="s">
        <v>7043</v>
      </c>
      <c r="J2164" s="3"/>
      <c r="K2164" s="3"/>
      <c r="L2164" s="5" t="str">
        <f>HYPERLINK("NATIVE_FILES\FOIA-FWS-2020-00724-0002163.shp","FOIA-FWS-2020-00724-0002163.shp")</f>
        <v>FOIA-FWS-2020-00724-0002163.shp</v>
      </c>
    </row>
    <row r="2165" spans="1:12" ht="28.8" x14ac:dyDescent="0.55000000000000004">
      <c r="A2165" s="9" t="str">
        <f>HYPERLINK("PDF\FOIA-FWS-2020-00724-0002164.pdf","FOIA-FWS-2020-00724-0002164")</f>
        <v>FOIA-FWS-2020-00724-0002164</v>
      </c>
      <c r="B2165" s="3" t="s">
        <v>3844</v>
      </c>
      <c r="C2165" s="3" t="s">
        <v>234</v>
      </c>
      <c r="D2165" s="3" t="s">
        <v>160</v>
      </c>
      <c r="E2165" s="3" t="s">
        <v>3851</v>
      </c>
      <c r="F2165" s="4">
        <v>43700.561805555553</v>
      </c>
      <c r="G2165" s="3"/>
      <c r="H2165" s="3"/>
      <c r="I2165" s="3" t="s">
        <v>7043</v>
      </c>
      <c r="J2165" s="3"/>
      <c r="K2165" s="3"/>
      <c r="L2165" s="5" t="str">
        <f>HYPERLINK("NATIVE_FILES\FOIA-FWS-2020-00724-0002164.xml","FOIA-FWS-2020-00724-0002164.xml")</f>
        <v>FOIA-FWS-2020-00724-0002164.xml</v>
      </c>
    </row>
    <row r="2166" spans="1:12" ht="28.8" x14ac:dyDescent="0.55000000000000004">
      <c r="A2166" s="9" t="str">
        <f>HYPERLINK("PDF\FOIA-FWS-2020-00724-0002165.pdf","FOIA-FWS-2020-00724-0002165")</f>
        <v>FOIA-FWS-2020-00724-0002165</v>
      </c>
      <c r="B2166" s="3" t="s">
        <v>3844</v>
      </c>
      <c r="C2166" s="3" t="s">
        <v>234</v>
      </c>
      <c r="D2166" s="3" t="s">
        <v>160</v>
      </c>
      <c r="E2166" s="3" t="s">
        <v>3852</v>
      </c>
      <c r="F2166" s="4">
        <v>43700.561805555553</v>
      </c>
      <c r="G2166" s="3"/>
      <c r="H2166" s="3"/>
      <c r="I2166" s="3" t="s">
        <v>7043</v>
      </c>
      <c r="J2166" s="3"/>
      <c r="K2166" s="3"/>
      <c r="L2166" s="5" t="str">
        <f>HYPERLINK("NATIVE_FILES\FOIA-FWS-2020-00724-0002165.shx","FOIA-FWS-2020-00724-0002165.shx")</f>
        <v>FOIA-FWS-2020-00724-0002165.shx</v>
      </c>
    </row>
    <row r="2167" spans="1:12" ht="43.2" x14ac:dyDescent="0.55000000000000004">
      <c r="A2167" s="9" t="str">
        <f>HYPERLINK("PDF\FOIA-FWS-2020-00724-0002166.pdf","FOIA-FWS-2020-00724-0002166")</f>
        <v>FOIA-FWS-2020-00724-0002166</v>
      </c>
      <c r="B2167" s="3" t="s">
        <v>3853</v>
      </c>
      <c r="C2167" s="3" t="s">
        <v>3</v>
      </c>
      <c r="D2167" s="3" t="s">
        <v>33</v>
      </c>
      <c r="E2167" s="3" t="s">
        <v>3855</v>
      </c>
      <c r="F2167" s="4">
        <v>43700.612500000003</v>
      </c>
      <c r="G2167" s="3" t="s">
        <v>963</v>
      </c>
      <c r="H2167" s="3" t="s">
        <v>3854</v>
      </c>
      <c r="I2167" s="3" t="s">
        <v>7043</v>
      </c>
      <c r="J2167" s="3"/>
      <c r="K2167" s="3"/>
      <c r="L2167" s="5"/>
    </row>
    <row r="2168" spans="1:12" ht="28.8" x14ac:dyDescent="0.55000000000000004">
      <c r="A2168" s="9" t="str">
        <f>HYPERLINK("PDF\FOIA-FWS-2020-00724-0002167.pdf","FOIA-FWS-2020-00724-0002167")</f>
        <v>FOIA-FWS-2020-00724-0002167</v>
      </c>
      <c r="B2168" s="3" t="s">
        <v>3856</v>
      </c>
      <c r="C2168" s="3" t="s">
        <v>3</v>
      </c>
      <c r="D2168" s="3" t="s">
        <v>33</v>
      </c>
      <c r="E2168" s="3" t="s">
        <v>3857</v>
      </c>
      <c r="F2168" s="4">
        <v>43700.745833333334</v>
      </c>
      <c r="G2168" s="3" t="s">
        <v>955</v>
      </c>
      <c r="H2168" s="3" t="s">
        <v>963</v>
      </c>
      <c r="I2168" s="3" t="s">
        <v>7043</v>
      </c>
      <c r="J2168" s="3"/>
      <c r="K2168" s="3"/>
      <c r="L2168" s="5"/>
    </row>
    <row r="2169" spans="1:12" ht="28.8" x14ac:dyDescent="0.55000000000000004">
      <c r="A2169" s="9" t="str">
        <f>HYPERLINK("PDF\FOIA-FWS-2020-00724-0002168.pdf","FOIA-FWS-2020-00724-0002168")</f>
        <v>FOIA-FWS-2020-00724-0002168</v>
      </c>
      <c r="B2169" s="3" t="s">
        <v>3858</v>
      </c>
      <c r="C2169" s="3" t="s">
        <v>3</v>
      </c>
      <c r="D2169" s="3" t="s">
        <v>33</v>
      </c>
      <c r="E2169" s="3" t="s">
        <v>3857</v>
      </c>
      <c r="F2169" s="4">
        <v>43700.756249999999</v>
      </c>
      <c r="G2169" s="3" t="s">
        <v>872</v>
      </c>
      <c r="H2169" s="3" t="s">
        <v>963</v>
      </c>
      <c r="I2169" s="3" t="s">
        <v>7043</v>
      </c>
      <c r="J2169" s="3"/>
      <c r="K2169" s="3"/>
      <c r="L2169" s="5"/>
    </row>
    <row r="2170" spans="1:12" ht="28.8" x14ac:dyDescent="0.55000000000000004">
      <c r="A2170" s="9" t="str">
        <f>HYPERLINK("PDF\FOIA-FWS-2020-00724-0002169.pdf","FOIA-FWS-2020-00724-0002169")</f>
        <v>FOIA-FWS-2020-00724-0002169</v>
      </c>
      <c r="B2170" s="3" t="s">
        <v>3859</v>
      </c>
      <c r="C2170" s="3" t="s">
        <v>3</v>
      </c>
      <c r="D2170" s="3" t="s">
        <v>33</v>
      </c>
      <c r="E2170" s="3" t="s">
        <v>3857</v>
      </c>
      <c r="F2170" s="4">
        <v>43700.763888888891</v>
      </c>
      <c r="G2170" s="3" t="s">
        <v>963</v>
      </c>
      <c r="H2170" s="3" t="s">
        <v>955</v>
      </c>
      <c r="I2170" s="3" t="s">
        <v>7043</v>
      </c>
      <c r="J2170" s="3"/>
      <c r="K2170" s="3"/>
      <c r="L2170" s="5"/>
    </row>
    <row r="2171" spans="1:12" ht="28.8" x14ac:dyDescent="0.55000000000000004">
      <c r="A2171" s="9" t="str">
        <f>HYPERLINK("PDF\FOIA-FWS-2020-00724-0002170.pdf","FOIA-FWS-2020-00724-0002170")</f>
        <v>FOIA-FWS-2020-00724-0002170</v>
      </c>
      <c r="B2171" s="3" t="s">
        <v>3860</v>
      </c>
      <c r="C2171" s="3" t="s">
        <v>3</v>
      </c>
      <c r="D2171" s="3" t="s">
        <v>33</v>
      </c>
      <c r="E2171" s="3" t="s">
        <v>3861</v>
      </c>
      <c r="F2171" s="4">
        <v>43700.769444444442</v>
      </c>
      <c r="G2171" s="3" t="s">
        <v>963</v>
      </c>
      <c r="H2171" s="3" t="s">
        <v>951</v>
      </c>
      <c r="I2171" s="3" t="s">
        <v>7043</v>
      </c>
      <c r="J2171" s="3"/>
      <c r="K2171" s="3"/>
      <c r="L2171" s="5"/>
    </row>
    <row r="2172" spans="1:12" ht="28.8" x14ac:dyDescent="0.55000000000000004">
      <c r="A2172" s="9" t="str">
        <f>HYPERLINK("PDF\FOIA-FWS-2020-00724-0002171.pdf","FOIA-FWS-2020-00724-0002171")</f>
        <v>FOIA-FWS-2020-00724-0002171</v>
      </c>
      <c r="B2172" s="3" t="s">
        <v>3862</v>
      </c>
      <c r="C2172" s="3" t="s">
        <v>3</v>
      </c>
      <c r="D2172" s="3" t="s">
        <v>33</v>
      </c>
      <c r="E2172" s="3" t="s">
        <v>3863</v>
      </c>
      <c r="F2172" s="4">
        <v>43700.773611111108</v>
      </c>
      <c r="G2172" s="3" t="s">
        <v>955</v>
      </c>
      <c r="H2172" s="3" t="s">
        <v>963</v>
      </c>
      <c r="I2172" s="3" t="s">
        <v>7043</v>
      </c>
      <c r="J2172" s="3"/>
      <c r="K2172" s="3"/>
      <c r="L2172" s="5"/>
    </row>
    <row r="2173" spans="1:12" ht="28.8" x14ac:dyDescent="0.55000000000000004">
      <c r="A2173" s="9" t="str">
        <f>HYPERLINK("PDF\FOIA-FWS-2020-00724-0002172.pdf","FOIA-FWS-2020-00724-0002172")</f>
        <v>FOIA-FWS-2020-00724-0002172</v>
      </c>
      <c r="B2173" s="3" t="s">
        <v>3864</v>
      </c>
      <c r="C2173" s="3" t="s">
        <v>3</v>
      </c>
      <c r="D2173" s="3" t="s">
        <v>33</v>
      </c>
      <c r="E2173" s="3" t="s">
        <v>3865</v>
      </c>
      <c r="F2173" s="4">
        <v>43700.776388888888</v>
      </c>
      <c r="G2173" s="3" t="s">
        <v>955</v>
      </c>
      <c r="H2173" s="3" t="s">
        <v>963</v>
      </c>
      <c r="I2173" s="3" t="s">
        <v>7043</v>
      </c>
      <c r="J2173" s="3"/>
      <c r="K2173" s="3"/>
      <c r="L2173" s="5"/>
    </row>
    <row r="2174" spans="1:12" ht="28.8" x14ac:dyDescent="0.55000000000000004">
      <c r="A2174" s="9" t="str">
        <f>HYPERLINK("PDF\FOIA-FWS-2020-00724-0002173.pdf","FOIA-FWS-2020-00724-0002173")</f>
        <v>FOIA-FWS-2020-00724-0002173</v>
      </c>
      <c r="B2174" s="3" t="s">
        <v>3866</v>
      </c>
      <c r="C2174" s="3" t="s">
        <v>3</v>
      </c>
      <c r="D2174" s="3" t="s">
        <v>33</v>
      </c>
      <c r="E2174" s="3" t="s">
        <v>3867</v>
      </c>
      <c r="F2174" s="4">
        <v>43700.792361111111</v>
      </c>
      <c r="G2174" s="3" t="s">
        <v>955</v>
      </c>
      <c r="H2174" s="3" t="s">
        <v>963</v>
      </c>
      <c r="I2174" s="3" t="s">
        <v>7043</v>
      </c>
      <c r="J2174" s="3"/>
      <c r="K2174" s="3"/>
      <c r="L2174" s="5"/>
    </row>
    <row r="2175" spans="1:12" ht="28.8" x14ac:dyDescent="0.55000000000000004">
      <c r="A2175" s="9" t="str">
        <f>HYPERLINK("PDF\FOIA-FWS-2020-00724-0002174.pdf","FOIA-FWS-2020-00724-0002174")</f>
        <v>FOIA-FWS-2020-00724-0002174</v>
      </c>
      <c r="B2175" s="3" t="s">
        <v>3868</v>
      </c>
      <c r="C2175" s="3" t="s">
        <v>3</v>
      </c>
      <c r="D2175" s="3" t="s">
        <v>33</v>
      </c>
      <c r="E2175" s="3" t="s">
        <v>3863</v>
      </c>
      <c r="F2175" s="4">
        <v>43700.820833333331</v>
      </c>
      <c r="G2175" s="3" t="s">
        <v>963</v>
      </c>
      <c r="H2175" s="3" t="s">
        <v>955</v>
      </c>
      <c r="I2175" s="3" t="s">
        <v>7043</v>
      </c>
      <c r="J2175" s="3"/>
      <c r="K2175" s="3"/>
      <c r="L2175" s="5"/>
    </row>
    <row r="2176" spans="1:12" ht="28.8" x14ac:dyDescent="0.55000000000000004">
      <c r="A2176" s="9" t="str">
        <f>HYPERLINK("PDF\FOIA-FWS-2020-00724-0002175.pdf","FOIA-FWS-2020-00724-0002175")</f>
        <v>FOIA-FWS-2020-00724-0002175</v>
      </c>
      <c r="B2176" s="3" t="s">
        <v>3869</v>
      </c>
      <c r="C2176" s="3" t="s">
        <v>3</v>
      </c>
      <c r="D2176" s="3" t="s">
        <v>33</v>
      </c>
      <c r="E2176" s="3" t="s">
        <v>3870</v>
      </c>
      <c r="F2176" s="4">
        <v>43700.861805555556</v>
      </c>
      <c r="G2176" s="3" t="s">
        <v>963</v>
      </c>
      <c r="H2176" s="3" t="s">
        <v>955</v>
      </c>
      <c r="I2176" s="3" t="s">
        <v>7043</v>
      </c>
      <c r="J2176" s="3"/>
      <c r="K2176" s="3"/>
      <c r="L2176" s="5"/>
    </row>
    <row r="2177" spans="1:12" ht="28.8" x14ac:dyDescent="0.55000000000000004">
      <c r="A2177" s="9" t="str">
        <f>HYPERLINK("PDF\FOIA-FWS-2020-00724-0002176.pdf","FOIA-FWS-2020-00724-0002176")</f>
        <v>FOIA-FWS-2020-00724-0002176</v>
      </c>
      <c r="B2177" s="3" t="s">
        <v>3869</v>
      </c>
      <c r="C2177" s="3" t="s">
        <v>234</v>
      </c>
      <c r="D2177" s="3" t="s">
        <v>33</v>
      </c>
      <c r="E2177" s="3" t="s">
        <v>3871</v>
      </c>
      <c r="F2177" s="4">
        <v>43700.861805555556</v>
      </c>
      <c r="G2177" s="3"/>
      <c r="H2177" s="3"/>
      <c r="I2177" s="3" t="s">
        <v>7043</v>
      </c>
      <c r="J2177" s="3"/>
      <c r="K2177" s="3"/>
      <c r="L2177" s="5"/>
    </row>
    <row r="2178" spans="1:12" ht="43.2" x14ac:dyDescent="0.55000000000000004">
      <c r="A2178" s="9" t="str">
        <f>HYPERLINK("PDF\FOIA-FWS-2020-00724-0002177.pdf","FOIA-FWS-2020-00724-0002177")</f>
        <v>FOIA-FWS-2020-00724-0002177</v>
      </c>
      <c r="B2178" s="3" t="s">
        <v>3872</v>
      </c>
      <c r="C2178" s="3" t="s">
        <v>3</v>
      </c>
      <c r="D2178" s="3" t="s">
        <v>33</v>
      </c>
      <c r="E2178" s="3" t="s">
        <v>3873</v>
      </c>
      <c r="F2178" s="4">
        <v>43703</v>
      </c>
      <c r="G2178" s="3"/>
      <c r="H2178" s="3"/>
      <c r="I2178" s="3" t="s">
        <v>7043</v>
      </c>
      <c r="J2178" s="3"/>
      <c r="K2178" s="3"/>
      <c r="L2178" s="5"/>
    </row>
    <row r="2179" spans="1:12" ht="28.8" x14ac:dyDescent="0.55000000000000004">
      <c r="A2179" s="9" t="str">
        <f>HYPERLINK("PDF\FOIA-FWS-2020-00724-0002178.pdf","FOIA-FWS-2020-00724-0002178")</f>
        <v>FOIA-FWS-2020-00724-0002178</v>
      </c>
      <c r="B2179" s="3" t="s">
        <v>3874</v>
      </c>
      <c r="C2179" s="3" t="s">
        <v>3</v>
      </c>
      <c r="D2179" s="3" t="s">
        <v>33</v>
      </c>
      <c r="E2179" s="3" t="s">
        <v>3875</v>
      </c>
      <c r="F2179" s="4">
        <v>43703</v>
      </c>
      <c r="G2179" s="3"/>
      <c r="H2179" s="3"/>
      <c r="I2179" s="3" t="s">
        <v>7043</v>
      </c>
      <c r="J2179" s="3"/>
      <c r="K2179" s="3"/>
      <c r="L2179" s="5"/>
    </row>
    <row r="2180" spans="1:12" ht="43.2" x14ac:dyDescent="0.55000000000000004">
      <c r="A2180" s="9" t="str">
        <f>HYPERLINK("PDF\FOIA-FWS-2020-00724-0002179.pdf","FOIA-FWS-2020-00724-0002179")</f>
        <v>FOIA-FWS-2020-00724-0002179</v>
      </c>
      <c r="B2180" s="3" t="s">
        <v>3876</v>
      </c>
      <c r="C2180" s="3" t="s">
        <v>3</v>
      </c>
      <c r="D2180" s="3" t="s">
        <v>33</v>
      </c>
      <c r="E2180" s="3" t="s">
        <v>3873</v>
      </c>
      <c r="F2180" s="4">
        <v>43703</v>
      </c>
      <c r="G2180" s="3"/>
      <c r="H2180" s="3"/>
      <c r="I2180" s="3" t="s">
        <v>7043</v>
      </c>
      <c r="J2180" s="3"/>
      <c r="K2180" s="3"/>
      <c r="L2180" s="5"/>
    </row>
    <row r="2181" spans="1:12" ht="28.8" x14ac:dyDescent="0.55000000000000004">
      <c r="A2181" s="9" t="str">
        <f>HYPERLINK("PDF\FOIA-FWS-2020-00724-0002180.pdf","FOIA-FWS-2020-00724-0002180")</f>
        <v>FOIA-FWS-2020-00724-0002180</v>
      </c>
      <c r="B2181" s="3" t="s">
        <v>3877</v>
      </c>
      <c r="C2181" s="3" t="s">
        <v>3</v>
      </c>
      <c r="D2181" s="3" t="s">
        <v>33</v>
      </c>
      <c r="E2181" s="3" t="s">
        <v>3878</v>
      </c>
      <c r="F2181" s="4">
        <v>43703.499305555553</v>
      </c>
      <c r="G2181" s="3" t="s">
        <v>3560</v>
      </c>
      <c r="H2181" s="3" t="s">
        <v>1135</v>
      </c>
      <c r="I2181" s="3" t="s">
        <v>7043</v>
      </c>
      <c r="J2181" s="3"/>
      <c r="K2181" s="3"/>
      <c r="L2181" s="5"/>
    </row>
    <row r="2182" spans="1:12" ht="28.8" x14ac:dyDescent="0.55000000000000004">
      <c r="A2182" s="9" t="str">
        <f>HYPERLINK("PDF\FOIA-FWS-2020-00724-0002181.pdf","FOIA-FWS-2020-00724-0002181")</f>
        <v>FOIA-FWS-2020-00724-0002181</v>
      </c>
      <c r="B2182" s="3" t="s">
        <v>3877</v>
      </c>
      <c r="C2182" s="3" t="s">
        <v>234</v>
      </c>
      <c r="D2182" s="3" t="s">
        <v>33</v>
      </c>
      <c r="E2182" s="3" t="s">
        <v>3879</v>
      </c>
      <c r="F2182" s="4">
        <v>43703.499305555553</v>
      </c>
      <c r="G2182" s="3"/>
      <c r="H2182" s="3"/>
      <c r="I2182" s="3" t="s">
        <v>7043</v>
      </c>
      <c r="J2182" s="3"/>
      <c r="K2182" s="3"/>
      <c r="L2182" s="5"/>
    </row>
    <row r="2183" spans="1:12" ht="28.8" x14ac:dyDescent="0.55000000000000004">
      <c r="A2183" s="9" t="str">
        <f>HYPERLINK("PDF\FOIA-FWS-2020-00724-0002182.pdf","FOIA-FWS-2020-00724-0002182")</f>
        <v>FOIA-FWS-2020-00724-0002182</v>
      </c>
      <c r="B2183" s="3" t="s">
        <v>3877</v>
      </c>
      <c r="C2183" s="3" t="s">
        <v>234</v>
      </c>
      <c r="D2183" s="3" t="s">
        <v>33</v>
      </c>
      <c r="E2183" s="3" t="s">
        <v>3880</v>
      </c>
      <c r="F2183" s="4">
        <v>43703.499305555553</v>
      </c>
      <c r="G2183" s="3"/>
      <c r="H2183" s="3"/>
      <c r="I2183" s="3" t="s">
        <v>7043</v>
      </c>
      <c r="J2183" s="3"/>
      <c r="K2183" s="3"/>
      <c r="L2183" s="5"/>
    </row>
    <row r="2184" spans="1:12" ht="28.8" x14ac:dyDescent="0.55000000000000004">
      <c r="A2184" s="9" t="str">
        <f>HYPERLINK("PDF\FOIA-FWS-2020-00724-0002183.pdf","FOIA-FWS-2020-00724-0002183")</f>
        <v>FOIA-FWS-2020-00724-0002183</v>
      </c>
      <c r="B2184" s="3" t="s">
        <v>3881</v>
      </c>
      <c r="C2184" s="3" t="s">
        <v>3</v>
      </c>
      <c r="D2184" s="3" t="s">
        <v>33</v>
      </c>
      <c r="E2184" s="3" t="s">
        <v>3882</v>
      </c>
      <c r="F2184" s="4">
        <v>43703.524305555555</v>
      </c>
      <c r="G2184" s="3" t="s">
        <v>955</v>
      </c>
      <c r="H2184" s="3" t="s">
        <v>963</v>
      </c>
      <c r="I2184" s="3" t="s">
        <v>7043</v>
      </c>
      <c r="J2184" s="3"/>
      <c r="K2184" s="3"/>
      <c r="L2184" s="5"/>
    </row>
    <row r="2185" spans="1:12" ht="28.8" x14ac:dyDescent="0.55000000000000004">
      <c r="A2185" s="9" t="str">
        <f>HYPERLINK("PDF\FOIA-FWS-2020-00724-0002184.pdf","FOIA-FWS-2020-00724-0002184")</f>
        <v>FOIA-FWS-2020-00724-0002184</v>
      </c>
      <c r="B2185" s="3" t="s">
        <v>3881</v>
      </c>
      <c r="C2185" s="3" t="s">
        <v>234</v>
      </c>
      <c r="D2185" s="3" t="s">
        <v>33</v>
      </c>
      <c r="E2185" s="3" t="s">
        <v>3883</v>
      </c>
      <c r="F2185" s="4">
        <v>43703.524305555555</v>
      </c>
      <c r="G2185" s="3"/>
      <c r="H2185" s="3"/>
      <c r="I2185" s="3" t="s">
        <v>7043</v>
      </c>
      <c r="J2185" s="3"/>
      <c r="K2185" s="3"/>
      <c r="L2185" s="5"/>
    </row>
    <row r="2186" spans="1:12" ht="28.8" x14ac:dyDescent="0.55000000000000004">
      <c r="A2186" s="9" t="str">
        <f>HYPERLINK("PDF\FOIA-FWS-2020-00724-0002185.pdf","FOIA-FWS-2020-00724-0002185")</f>
        <v>FOIA-FWS-2020-00724-0002185</v>
      </c>
      <c r="B2186" s="3" t="s">
        <v>3884</v>
      </c>
      <c r="C2186" s="3" t="s">
        <v>3</v>
      </c>
      <c r="D2186" s="3" t="s">
        <v>33</v>
      </c>
      <c r="E2186" s="3" t="s">
        <v>3885</v>
      </c>
      <c r="F2186" s="4">
        <v>43703.60833333333</v>
      </c>
      <c r="G2186" s="3" t="s">
        <v>955</v>
      </c>
      <c r="H2186" s="3" t="s">
        <v>963</v>
      </c>
      <c r="I2186" s="3" t="s">
        <v>7043</v>
      </c>
      <c r="J2186" s="3"/>
      <c r="K2186" s="3"/>
      <c r="L2186" s="5"/>
    </row>
    <row r="2187" spans="1:12" ht="28.8" x14ac:dyDescent="0.55000000000000004">
      <c r="A2187" s="9" t="str">
        <f>HYPERLINK("PDF\FOIA-FWS-2020-00724-0002186.pdf","FOIA-FWS-2020-00724-0002186")</f>
        <v>FOIA-FWS-2020-00724-0002186</v>
      </c>
      <c r="B2187" s="3" t="s">
        <v>3886</v>
      </c>
      <c r="C2187" s="3" t="s">
        <v>3</v>
      </c>
      <c r="D2187" s="3" t="s">
        <v>33</v>
      </c>
      <c r="E2187" s="3" t="s">
        <v>3887</v>
      </c>
      <c r="F2187" s="4">
        <v>43703.640972222223</v>
      </c>
      <c r="G2187" s="3" t="s">
        <v>955</v>
      </c>
      <c r="H2187" s="3" t="s">
        <v>963</v>
      </c>
      <c r="I2187" s="3" t="s">
        <v>7043</v>
      </c>
      <c r="J2187" s="3"/>
      <c r="K2187" s="3"/>
      <c r="L2187" s="5"/>
    </row>
    <row r="2188" spans="1:12" ht="43.2" x14ac:dyDescent="0.55000000000000004">
      <c r="A2188" s="9" t="str">
        <f>HYPERLINK("PDF\FOIA-FWS-2020-00724-0002187.pdf","FOIA-FWS-2020-00724-0002187")</f>
        <v>FOIA-FWS-2020-00724-0002187</v>
      </c>
      <c r="B2188" s="3" t="s">
        <v>3888</v>
      </c>
      <c r="C2188" s="3" t="s">
        <v>3</v>
      </c>
      <c r="D2188" s="3" t="s">
        <v>33</v>
      </c>
      <c r="E2188" s="3" t="s">
        <v>3889</v>
      </c>
      <c r="F2188" s="4">
        <v>43703.808333333334</v>
      </c>
      <c r="G2188" s="3" t="s">
        <v>955</v>
      </c>
      <c r="H2188" s="3" t="s">
        <v>963</v>
      </c>
      <c r="I2188" s="3" t="s">
        <v>7043</v>
      </c>
      <c r="J2188" s="3"/>
      <c r="K2188" s="3"/>
      <c r="L2188" s="5"/>
    </row>
    <row r="2189" spans="1:12" ht="28.8" x14ac:dyDescent="0.55000000000000004">
      <c r="A2189" s="9" t="str">
        <f>HYPERLINK("PDF\FOIA-FWS-2020-00724-0002188.pdf","FOIA-FWS-2020-00724-0002188")</f>
        <v>FOIA-FWS-2020-00724-0002188</v>
      </c>
      <c r="B2189" s="3" t="s">
        <v>3890</v>
      </c>
      <c r="C2189" s="3" t="s">
        <v>3</v>
      </c>
      <c r="D2189" s="3" t="s">
        <v>33</v>
      </c>
      <c r="E2189" s="3" t="s">
        <v>3891</v>
      </c>
      <c r="F2189" s="4">
        <v>43704</v>
      </c>
      <c r="G2189" s="3"/>
      <c r="H2189" s="3"/>
      <c r="I2189" s="3" t="s">
        <v>7043</v>
      </c>
      <c r="J2189" s="3"/>
      <c r="K2189" s="3"/>
      <c r="L2189" s="5"/>
    </row>
    <row r="2190" spans="1:12" ht="28.8" x14ac:dyDescent="0.55000000000000004">
      <c r="A2190" s="9" t="str">
        <f>HYPERLINK("PDF\FOIA-FWS-2020-00724-0002189.pdf","FOIA-FWS-2020-00724-0002189")</f>
        <v>FOIA-FWS-2020-00724-0002189</v>
      </c>
      <c r="B2190" s="3" t="s">
        <v>3892</v>
      </c>
      <c r="C2190" s="3" t="s">
        <v>3</v>
      </c>
      <c r="D2190" s="3" t="s">
        <v>33</v>
      </c>
      <c r="E2190" s="3" t="s">
        <v>3893</v>
      </c>
      <c r="F2190" s="4">
        <v>43704.572916666664</v>
      </c>
      <c r="G2190" s="3" t="s">
        <v>872</v>
      </c>
      <c r="H2190" s="3" t="s">
        <v>963</v>
      </c>
      <c r="I2190" s="3" t="s">
        <v>7043</v>
      </c>
      <c r="J2190" s="3"/>
      <c r="K2190" s="3"/>
      <c r="L2190" s="5"/>
    </row>
    <row r="2191" spans="1:12" ht="28.8" x14ac:dyDescent="0.55000000000000004">
      <c r="A2191" s="9" t="str">
        <f>HYPERLINK("PDF\FOIA-FWS-2020-00724-0002190.pdf","FOIA-FWS-2020-00724-0002190")</f>
        <v>FOIA-FWS-2020-00724-0002190</v>
      </c>
      <c r="B2191" s="3" t="s">
        <v>3892</v>
      </c>
      <c r="C2191" s="3" t="s">
        <v>234</v>
      </c>
      <c r="D2191" s="3" t="s">
        <v>33</v>
      </c>
      <c r="E2191" s="3" t="s">
        <v>3894</v>
      </c>
      <c r="F2191" s="4">
        <v>43704.572916666664</v>
      </c>
      <c r="G2191" s="3"/>
      <c r="H2191" s="3"/>
      <c r="I2191" s="3" t="s">
        <v>7043</v>
      </c>
      <c r="J2191" s="3"/>
      <c r="K2191" s="3"/>
      <c r="L2191" s="5"/>
    </row>
    <row r="2192" spans="1:12" ht="28.8" x14ac:dyDescent="0.55000000000000004">
      <c r="A2192" s="9" t="str">
        <f>HYPERLINK("PDF\FOIA-FWS-2020-00724-0002191.pdf","FOIA-FWS-2020-00724-0002191")</f>
        <v>FOIA-FWS-2020-00724-0002191</v>
      </c>
      <c r="B2192" s="3" t="s">
        <v>3895</v>
      </c>
      <c r="C2192" s="3" t="s">
        <v>3</v>
      </c>
      <c r="D2192" s="3" t="s">
        <v>33</v>
      </c>
      <c r="E2192" s="3" t="s">
        <v>3896</v>
      </c>
      <c r="F2192" s="4">
        <v>43704.575694444444</v>
      </c>
      <c r="G2192" s="3" t="s">
        <v>872</v>
      </c>
      <c r="H2192" s="3" t="s">
        <v>955</v>
      </c>
      <c r="I2192" s="3" t="s">
        <v>7043</v>
      </c>
      <c r="J2192" s="3"/>
      <c r="K2192" s="3"/>
      <c r="L2192" s="5"/>
    </row>
    <row r="2193" spans="1:12" ht="28.8" x14ac:dyDescent="0.55000000000000004">
      <c r="A2193" s="9" t="str">
        <f>HYPERLINK("PDF\FOIA-FWS-2020-00724-0002192.pdf","FOIA-FWS-2020-00724-0002192")</f>
        <v>FOIA-FWS-2020-00724-0002192</v>
      </c>
      <c r="B2193" s="3" t="s">
        <v>3897</v>
      </c>
      <c r="C2193" s="3" t="s">
        <v>3</v>
      </c>
      <c r="D2193" s="3" t="s">
        <v>33</v>
      </c>
      <c r="E2193" s="3" t="s">
        <v>3898</v>
      </c>
      <c r="F2193" s="4">
        <v>43704.723611111112</v>
      </c>
      <c r="G2193" s="3" t="s">
        <v>872</v>
      </c>
      <c r="H2193" s="3" t="s">
        <v>955</v>
      </c>
      <c r="I2193" s="3" t="s">
        <v>7043</v>
      </c>
      <c r="J2193" s="3"/>
      <c r="K2193" s="3"/>
      <c r="L2193" s="5"/>
    </row>
    <row r="2194" spans="1:12" ht="28.8" x14ac:dyDescent="0.55000000000000004">
      <c r="A2194" s="9" t="str">
        <f>HYPERLINK("PDF\FOIA-FWS-2020-00724-0002193.pdf","FOIA-FWS-2020-00724-0002193")</f>
        <v>FOIA-FWS-2020-00724-0002193</v>
      </c>
      <c r="B2194" s="3" t="s">
        <v>3899</v>
      </c>
      <c r="C2194" s="3" t="s">
        <v>3</v>
      </c>
      <c r="D2194" s="3" t="s">
        <v>33</v>
      </c>
      <c r="E2194" s="3" t="s">
        <v>3900</v>
      </c>
      <c r="F2194" s="4">
        <v>43704.731944444444</v>
      </c>
      <c r="G2194" s="3" t="s">
        <v>955</v>
      </c>
      <c r="H2194" s="3" t="s">
        <v>872</v>
      </c>
      <c r="I2194" s="3" t="s">
        <v>7043</v>
      </c>
      <c r="J2194" s="3"/>
      <c r="K2194" s="3"/>
      <c r="L2194" s="5"/>
    </row>
    <row r="2195" spans="1:12" ht="43.2" x14ac:dyDescent="0.55000000000000004">
      <c r="A2195" s="9" t="str">
        <f>HYPERLINK("PDF\FOIA-FWS-2020-00724-0002194.pdf","FOIA-FWS-2020-00724-0002194")</f>
        <v>FOIA-FWS-2020-00724-0002194</v>
      </c>
      <c r="B2195" s="3" t="s">
        <v>3899</v>
      </c>
      <c r="C2195" s="3" t="s">
        <v>234</v>
      </c>
      <c r="D2195" s="3" t="s">
        <v>33</v>
      </c>
      <c r="E2195" s="3" t="s">
        <v>3901</v>
      </c>
      <c r="F2195" s="4">
        <v>43704.731944444444</v>
      </c>
      <c r="G2195" s="3"/>
      <c r="H2195" s="3"/>
      <c r="I2195" s="3" t="s">
        <v>7043</v>
      </c>
      <c r="J2195" s="3"/>
      <c r="K2195" s="3"/>
      <c r="L2195" s="5"/>
    </row>
    <row r="2196" spans="1:12" ht="28.8" x14ac:dyDescent="0.55000000000000004">
      <c r="A2196" s="9" t="str">
        <f>HYPERLINK("PDF\FOIA-FWS-2020-00724-0002195.pdf","FOIA-FWS-2020-00724-0002195")</f>
        <v>FOIA-FWS-2020-00724-0002195</v>
      </c>
      <c r="B2196" s="3" t="s">
        <v>3902</v>
      </c>
      <c r="C2196" s="3" t="s">
        <v>3</v>
      </c>
      <c r="D2196" s="3" t="s">
        <v>33</v>
      </c>
      <c r="E2196" s="3" t="s">
        <v>3903</v>
      </c>
      <c r="F2196" s="4">
        <v>43704.752083333333</v>
      </c>
      <c r="G2196" s="3" t="s">
        <v>955</v>
      </c>
      <c r="H2196" s="3" t="s">
        <v>872</v>
      </c>
      <c r="I2196" s="3" t="s">
        <v>7043</v>
      </c>
      <c r="J2196" s="3"/>
      <c r="K2196" s="3"/>
      <c r="L2196" s="5"/>
    </row>
    <row r="2197" spans="1:12" ht="28.8" x14ac:dyDescent="0.55000000000000004">
      <c r="A2197" s="9" t="str">
        <f>HYPERLINK("PDF\FOIA-FWS-2020-00724-0002196.pdf","FOIA-FWS-2020-00724-0002196")</f>
        <v>FOIA-FWS-2020-00724-0002196</v>
      </c>
      <c r="B2197" s="3" t="s">
        <v>3904</v>
      </c>
      <c r="C2197" s="3" t="s">
        <v>3</v>
      </c>
      <c r="D2197" s="3" t="s">
        <v>33</v>
      </c>
      <c r="E2197" s="3" t="s">
        <v>3906</v>
      </c>
      <c r="F2197" s="4">
        <v>43704.826388888891</v>
      </c>
      <c r="G2197" s="3" t="s">
        <v>872</v>
      </c>
      <c r="H2197" s="3" t="s">
        <v>3905</v>
      </c>
      <c r="I2197" s="3" t="s">
        <v>7043</v>
      </c>
      <c r="J2197" s="3"/>
      <c r="K2197" s="3"/>
      <c r="L2197" s="5"/>
    </row>
    <row r="2198" spans="1:12" ht="28.8" x14ac:dyDescent="0.55000000000000004">
      <c r="A2198" s="9" t="str">
        <f>HYPERLINK("PDF\FOIA-FWS-2020-00724-0002197.pdf","FOIA-FWS-2020-00724-0002197")</f>
        <v>FOIA-FWS-2020-00724-0002197</v>
      </c>
      <c r="B2198" s="3" t="s">
        <v>3907</v>
      </c>
      <c r="C2198" s="3" t="s">
        <v>3</v>
      </c>
      <c r="D2198" s="3" t="s">
        <v>33</v>
      </c>
      <c r="E2198" s="3" t="s">
        <v>3908</v>
      </c>
      <c r="F2198" s="4">
        <v>43705</v>
      </c>
      <c r="G2198" s="3"/>
      <c r="H2198" s="3"/>
      <c r="I2198" s="3" t="s">
        <v>7043</v>
      </c>
      <c r="J2198" s="3"/>
      <c r="K2198" s="3"/>
      <c r="L2198" s="5"/>
    </row>
    <row r="2199" spans="1:12" ht="28.8" x14ac:dyDescent="0.55000000000000004">
      <c r="A2199" s="9" t="str">
        <f>HYPERLINK("PDF\FOIA-FWS-2020-00724-0002198.pdf","FOIA-FWS-2020-00724-0002198")</f>
        <v>FOIA-FWS-2020-00724-0002198</v>
      </c>
      <c r="B2199" s="3" t="s">
        <v>3909</v>
      </c>
      <c r="C2199" s="3" t="s">
        <v>3</v>
      </c>
      <c r="D2199" s="3" t="s">
        <v>33</v>
      </c>
      <c r="E2199" s="3" t="s">
        <v>3910</v>
      </c>
      <c r="F2199" s="4">
        <v>43705.51666666667</v>
      </c>
      <c r="G2199" s="3" t="s">
        <v>872</v>
      </c>
      <c r="H2199" s="3" t="s">
        <v>2467</v>
      </c>
      <c r="I2199" s="3" t="s">
        <v>7043</v>
      </c>
      <c r="J2199" s="3"/>
      <c r="K2199" s="3"/>
      <c r="L2199" s="5"/>
    </row>
    <row r="2200" spans="1:12" ht="43.2" x14ac:dyDescent="0.55000000000000004">
      <c r="A2200" s="9" t="str">
        <f>HYPERLINK("PDF\FOIA-FWS-2020-00724-0002199.pdf","FOIA-FWS-2020-00724-0002199")</f>
        <v>FOIA-FWS-2020-00724-0002199</v>
      </c>
      <c r="B2200" s="3" t="s">
        <v>3909</v>
      </c>
      <c r="C2200" s="3" t="s">
        <v>234</v>
      </c>
      <c r="D2200" s="3" t="s">
        <v>33</v>
      </c>
      <c r="E2200" s="3" t="s">
        <v>3911</v>
      </c>
      <c r="F2200" s="4">
        <v>43705.51666666667</v>
      </c>
      <c r="G2200" s="3"/>
      <c r="H2200" s="3"/>
      <c r="I2200" s="3" t="s">
        <v>7043</v>
      </c>
      <c r="J2200" s="3"/>
      <c r="K2200" s="3"/>
      <c r="L2200" s="5"/>
    </row>
    <row r="2201" spans="1:12" ht="28.8" x14ac:dyDescent="0.55000000000000004">
      <c r="A2201" s="9" t="str">
        <f>HYPERLINK("PDF\FOIA-FWS-2020-00724-0002200.pdf","FOIA-FWS-2020-00724-0002200")</f>
        <v>FOIA-FWS-2020-00724-0002200</v>
      </c>
      <c r="B2201" s="3" t="s">
        <v>3912</v>
      </c>
      <c r="C2201" s="3" t="s">
        <v>3</v>
      </c>
      <c r="D2201" s="3" t="s">
        <v>33</v>
      </c>
      <c r="E2201" s="3" t="s">
        <v>3913</v>
      </c>
      <c r="F2201" s="4">
        <v>43707.575694444444</v>
      </c>
      <c r="G2201" s="3" t="s">
        <v>955</v>
      </c>
      <c r="H2201" s="3" t="s">
        <v>1392</v>
      </c>
      <c r="I2201" s="3" t="s">
        <v>7043</v>
      </c>
      <c r="J2201" s="3"/>
      <c r="K2201" s="3"/>
      <c r="L2201" s="5"/>
    </row>
    <row r="2202" spans="1:12" ht="28.8" x14ac:dyDescent="0.55000000000000004">
      <c r="A2202" s="9" t="str">
        <f>HYPERLINK("PDF\FOIA-FWS-2020-00724-0002201.pdf","FOIA-FWS-2020-00724-0002201")</f>
        <v>FOIA-FWS-2020-00724-0002201</v>
      </c>
      <c r="B2202" s="3" t="s">
        <v>3912</v>
      </c>
      <c r="C2202" s="3" t="s">
        <v>234</v>
      </c>
      <c r="D2202" s="3" t="s">
        <v>33</v>
      </c>
      <c r="E2202" s="3" t="s">
        <v>3914</v>
      </c>
      <c r="F2202" s="4">
        <v>43707.575694444444</v>
      </c>
      <c r="G2202" s="3"/>
      <c r="H2202" s="3"/>
      <c r="I2202" s="3" t="s">
        <v>7043</v>
      </c>
      <c r="J2202" s="3"/>
      <c r="K2202" s="3"/>
      <c r="L2202" s="5"/>
    </row>
    <row r="2203" spans="1:12" ht="28.8" x14ac:dyDescent="0.55000000000000004">
      <c r="A2203" s="9" t="str">
        <f>HYPERLINK("PDF\FOIA-FWS-2020-00724-0002202.pdf","FOIA-FWS-2020-00724-0002202")</f>
        <v>FOIA-FWS-2020-00724-0002202</v>
      </c>
      <c r="B2203" s="3" t="s">
        <v>3915</v>
      </c>
      <c r="C2203" s="3" t="s">
        <v>3</v>
      </c>
      <c r="D2203" s="3" t="s">
        <v>38</v>
      </c>
      <c r="E2203" s="3" t="s">
        <v>3916</v>
      </c>
      <c r="F2203" s="4">
        <v>43709</v>
      </c>
      <c r="G2203" s="3"/>
      <c r="H2203" s="3"/>
      <c r="I2203" s="3" t="s">
        <v>7043</v>
      </c>
      <c r="J2203" s="3"/>
      <c r="K2203" s="3"/>
      <c r="L2203" s="5"/>
    </row>
    <row r="2204" spans="1:12" ht="43.2" x14ac:dyDescent="0.55000000000000004">
      <c r="A2204" s="9" t="str">
        <f>HYPERLINK("PDF\FOIA-FWS-2020-00724-0002203.pdf","FOIA-FWS-2020-00724-0002203")</f>
        <v>FOIA-FWS-2020-00724-0002203</v>
      </c>
      <c r="B2204" s="3" t="s">
        <v>3917</v>
      </c>
      <c r="C2204" s="3" t="s">
        <v>3</v>
      </c>
      <c r="D2204" s="3" t="s">
        <v>33</v>
      </c>
      <c r="E2204" s="3" t="s">
        <v>3919</v>
      </c>
      <c r="F2204" s="4">
        <v>43711.576388888891</v>
      </c>
      <c r="G2204" s="3" t="s">
        <v>861</v>
      </c>
      <c r="H2204" s="3" t="s">
        <v>3918</v>
      </c>
      <c r="I2204" s="3" t="s">
        <v>7043</v>
      </c>
      <c r="J2204" s="3"/>
      <c r="K2204" s="3"/>
      <c r="L2204" s="5"/>
    </row>
    <row r="2205" spans="1:12" ht="43.2" x14ac:dyDescent="0.55000000000000004">
      <c r="A2205" s="9" t="str">
        <f>HYPERLINK("PDF\FOIA-FWS-2020-00724-0002204.pdf","FOIA-FWS-2020-00724-0002204")</f>
        <v>FOIA-FWS-2020-00724-0002204</v>
      </c>
      <c r="B2205" s="3" t="s">
        <v>3917</v>
      </c>
      <c r="C2205" s="3" t="s">
        <v>234</v>
      </c>
      <c r="D2205" s="3" t="s">
        <v>33</v>
      </c>
      <c r="E2205" s="3" t="s">
        <v>867</v>
      </c>
      <c r="F2205" s="4">
        <v>43711.576388888891</v>
      </c>
      <c r="G2205" s="3" t="s">
        <v>1624</v>
      </c>
      <c r="H2205" s="3" t="s">
        <v>3920</v>
      </c>
      <c r="I2205" s="3" t="s">
        <v>7043</v>
      </c>
      <c r="J2205" s="3"/>
      <c r="K2205" s="3"/>
      <c r="L2205" s="5"/>
    </row>
    <row r="2206" spans="1:12" ht="28.8" x14ac:dyDescent="0.55000000000000004">
      <c r="A2206" s="9" t="str">
        <f>HYPERLINK("PDF\FOIA-FWS-2020-00724-0002205.pdf","FOIA-FWS-2020-00724-0002205")</f>
        <v>FOIA-FWS-2020-00724-0002205</v>
      </c>
      <c r="B2206" s="3" t="s">
        <v>3921</v>
      </c>
      <c r="C2206" s="3" t="s">
        <v>3</v>
      </c>
      <c r="D2206" s="3" t="s">
        <v>33</v>
      </c>
      <c r="E2206" s="3" t="s">
        <v>3922</v>
      </c>
      <c r="F2206" s="4">
        <v>43712.543749999997</v>
      </c>
      <c r="G2206" s="3" t="s">
        <v>2081</v>
      </c>
      <c r="H2206" s="3" t="s">
        <v>861</v>
      </c>
      <c r="I2206" s="3" t="s">
        <v>7043</v>
      </c>
      <c r="J2206" s="3"/>
      <c r="K2206" s="3"/>
      <c r="L2206" s="5"/>
    </row>
    <row r="2207" spans="1:12" ht="100.8" x14ac:dyDescent="0.55000000000000004">
      <c r="A2207" s="9" t="str">
        <f>HYPERLINK("PDF\FOIA-FWS-2020-00724-0002206.pdf","FOIA-FWS-2020-00724-0002206")</f>
        <v>FOIA-FWS-2020-00724-0002206</v>
      </c>
      <c r="B2207" s="3" t="s">
        <v>3923</v>
      </c>
      <c r="C2207" s="3" t="s">
        <v>3</v>
      </c>
      <c r="D2207" s="3" t="s">
        <v>33</v>
      </c>
      <c r="E2207" s="3" t="s">
        <v>3925</v>
      </c>
      <c r="F2207" s="4">
        <v>43713.825694444444</v>
      </c>
      <c r="G2207" s="3" t="s">
        <v>1119</v>
      </c>
      <c r="H2207" s="3" t="s">
        <v>3924</v>
      </c>
      <c r="I2207" s="3" t="s">
        <v>7043</v>
      </c>
      <c r="J2207" s="3"/>
      <c r="K2207" s="3"/>
      <c r="L2207" s="5"/>
    </row>
    <row r="2208" spans="1:12" ht="28.8" x14ac:dyDescent="0.55000000000000004">
      <c r="A2208" s="9" t="str">
        <f>HYPERLINK("PDF\FOIA-FWS-2020-00724-0002207.pdf","FOIA-FWS-2020-00724-0002207")</f>
        <v>FOIA-FWS-2020-00724-0002207</v>
      </c>
      <c r="B2208" s="3" t="s">
        <v>3923</v>
      </c>
      <c r="C2208" s="3" t="s">
        <v>234</v>
      </c>
      <c r="D2208" s="3" t="s">
        <v>4</v>
      </c>
      <c r="E2208" s="3" t="s">
        <v>3926</v>
      </c>
      <c r="F2208" s="4">
        <v>43713.825694444444</v>
      </c>
      <c r="G2208" s="3"/>
      <c r="H2208" s="3"/>
      <c r="I2208" s="3" t="s">
        <v>7043</v>
      </c>
      <c r="J2208" s="3"/>
      <c r="K2208" s="3"/>
      <c r="L2208" s="5"/>
    </row>
    <row r="2209" spans="1:12" ht="28.8" x14ac:dyDescent="0.55000000000000004">
      <c r="A2209" s="9" t="str">
        <f>HYPERLINK("PDF\FOIA-FWS-2020-00724-0002208.pdf","FOIA-FWS-2020-00724-0002208")</f>
        <v>FOIA-FWS-2020-00724-0002208</v>
      </c>
      <c r="B2209" s="3" t="s">
        <v>3927</v>
      </c>
      <c r="C2209" s="3" t="s">
        <v>3</v>
      </c>
      <c r="D2209" s="3" t="s">
        <v>33</v>
      </c>
      <c r="E2209" s="3" t="s">
        <v>3928</v>
      </c>
      <c r="F2209" s="4">
        <v>43718</v>
      </c>
      <c r="G2209" s="3"/>
      <c r="H2209" s="3"/>
      <c r="I2209" s="3" t="s">
        <v>7043</v>
      </c>
      <c r="J2209" s="3"/>
      <c r="K2209" s="3"/>
      <c r="L2209" s="5"/>
    </row>
    <row r="2210" spans="1:12" ht="115.2" x14ac:dyDescent="0.55000000000000004">
      <c r="A2210" s="9" t="str">
        <f>HYPERLINK("PDF\FOIA-FWS-2020-00724-0002209.pdf","FOIA-FWS-2020-00724-0002209")</f>
        <v>FOIA-FWS-2020-00724-0002209</v>
      </c>
      <c r="B2210" s="3" t="s">
        <v>3929</v>
      </c>
      <c r="C2210" s="3" t="s">
        <v>3</v>
      </c>
      <c r="D2210" s="3" t="s">
        <v>33</v>
      </c>
      <c r="E2210" s="3" t="s">
        <v>3931</v>
      </c>
      <c r="F2210" s="4">
        <v>43718.48333333333</v>
      </c>
      <c r="G2210" s="3" t="s">
        <v>2007</v>
      </c>
      <c r="H2210" s="3" t="s">
        <v>3930</v>
      </c>
      <c r="I2210" s="3" t="s">
        <v>864</v>
      </c>
      <c r="J2210" s="3" t="s">
        <v>7046</v>
      </c>
      <c r="K2210" s="3" t="s">
        <v>7036</v>
      </c>
      <c r="L2210" s="5"/>
    </row>
    <row r="2211" spans="1:12" ht="86.4" x14ac:dyDescent="0.55000000000000004">
      <c r="A2211" s="9" t="str">
        <f>HYPERLINK("PDF\FOIA-FWS-2020-00724-0002210.pdf","FOIA-FWS-2020-00724-0002210")</f>
        <v>FOIA-FWS-2020-00724-0002210</v>
      </c>
      <c r="B2211" s="3" t="s">
        <v>3929</v>
      </c>
      <c r="C2211" s="3" t="s">
        <v>234</v>
      </c>
      <c r="D2211" s="3" t="s">
        <v>33</v>
      </c>
      <c r="E2211" s="3" t="s">
        <v>3933</v>
      </c>
      <c r="F2211" s="4">
        <v>43718.48333333333</v>
      </c>
      <c r="G2211" s="3" t="s">
        <v>2007</v>
      </c>
      <c r="H2211" s="3" t="s">
        <v>3932</v>
      </c>
      <c r="I2211" s="3" t="s">
        <v>7043</v>
      </c>
      <c r="J2211" s="3" t="s">
        <v>7046</v>
      </c>
      <c r="K2211" s="3"/>
      <c r="L2211" s="5" t="str">
        <f>HYPERLINK("NATIVE_FILES\FOIA-FWS-2020-00724-0002210.ics","FOIA-FWS-2020-00724-0002210.ics")</f>
        <v>FOIA-FWS-2020-00724-0002210.ics</v>
      </c>
    </row>
    <row r="2212" spans="1:12" ht="28.8" x14ac:dyDescent="0.55000000000000004">
      <c r="A2212" s="9" t="str">
        <f>HYPERLINK("PDF\FOIA-FWS-2020-00724-0002211.pdf","FOIA-FWS-2020-00724-0002211")</f>
        <v>FOIA-FWS-2020-00724-0002211</v>
      </c>
      <c r="B2212" s="3" t="s">
        <v>3934</v>
      </c>
      <c r="C2212" s="3" t="s">
        <v>3</v>
      </c>
      <c r="D2212" s="3" t="s">
        <v>33</v>
      </c>
      <c r="E2212" s="3" t="s">
        <v>3935</v>
      </c>
      <c r="F2212" s="4">
        <v>43718.550694444442</v>
      </c>
      <c r="G2212" s="3" t="s">
        <v>872</v>
      </c>
      <c r="H2212" s="3" t="s">
        <v>3123</v>
      </c>
      <c r="I2212" s="3" t="s">
        <v>7043</v>
      </c>
      <c r="J2212" s="3"/>
      <c r="K2212" s="3"/>
      <c r="L2212" s="5"/>
    </row>
    <row r="2213" spans="1:12" ht="28.8" x14ac:dyDescent="0.55000000000000004">
      <c r="A2213" s="9" t="str">
        <f>HYPERLINK("PDF\FOIA-FWS-2020-00724-0002212.pdf","FOIA-FWS-2020-00724-0002212")</f>
        <v>FOIA-FWS-2020-00724-0002212</v>
      </c>
      <c r="B2213" s="3" t="s">
        <v>3934</v>
      </c>
      <c r="C2213" s="3" t="s">
        <v>234</v>
      </c>
      <c r="D2213" s="3" t="s">
        <v>4</v>
      </c>
      <c r="E2213" s="3" t="s">
        <v>3936</v>
      </c>
      <c r="F2213" s="4">
        <v>43718.550694444442</v>
      </c>
      <c r="G2213" s="3"/>
      <c r="H2213" s="3"/>
      <c r="I2213" s="3" t="s">
        <v>7043</v>
      </c>
      <c r="J2213" s="3"/>
      <c r="K2213" s="3"/>
      <c r="L2213" s="5"/>
    </row>
    <row r="2214" spans="1:12" ht="57.6" x14ac:dyDescent="0.55000000000000004">
      <c r="A2214" s="9" t="str">
        <f>HYPERLINK("PDF\FOIA-FWS-2020-00724-0002213.pdf","FOIA-FWS-2020-00724-0002213")</f>
        <v>FOIA-FWS-2020-00724-0002213</v>
      </c>
      <c r="B2214" s="3" t="s">
        <v>3937</v>
      </c>
      <c r="C2214" s="3" t="s">
        <v>3</v>
      </c>
      <c r="D2214" s="3" t="s">
        <v>33</v>
      </c>
      <c r="E2214" s="3" t="s">
        <v>3939</v>
      </c>
      <c r="F2214" s="4">
        <v>43718.557638888888</v>
      </c>
      <c r="G2214" s="3" t="s">
        <v>963</v>
      </c>
      <c r="H2214" s="3" t="s">
        <v>3938</v>
      </c>
      <c r="I2214" s="3" t="s">
        <v>7043</v>
      </c>
      <c r="J2214" s="3"/>
      <c r="K2214" s="3"/>
      <c r="L2214" s="5"/>
    </row>
    <row r="2215" spans="1:12" ht="28.8" x14ac:dyDescent="0.55000000000000004">
      <c r="A2215" s="9" t="str">
        <f>HYPERLINK("PDF\FOIA-FWS-2020-00724-0002214.pdf","FOIA-FWS-2020-00724-0002214")</f>
        <v>FOIA-FWS-2020-00724-0002214</v>
      </c>
      <c r="B2215" s="3" t="s">
        <v>3937</v>
      </c>
      <c r="C2215" s="3" t="s">
        <v>234</v>
      </c>
      <c r="D2215" s="3" t="s">
        <v>33</v>
      </c>
      <c r="E2215" s="3" t="s">
        <v>3940</v>
      </c>
      <c r="F2215" s="4">
        <v>43718.557638888888</v>
      </c>
      <c r="G2215" s="3"/>
      <c r="H2215" s="3"/>
      <c r="I2215" s="3" t="s">
        <v>7043</v>
      </c>
      <c r="J2215" s="3"/>
      <c r="K2215" s="3"/>
      <c r="L2215" s="5"/>
    </row>
    <row r="2216" spans="1:12" ht="28.8" x14ac:dyDescent="0.55000000000000004">
      <c r="A2216" s="9" t="str">
        <f>HYPERLINK("PDF\FOIA-FWS-2020-00724-0002215.pdf","FOIA-FWS-2020-00724-0002215")</f>
        <v>FOIA-FWS-2020-00724-0002215</v>
      </c>
      <c r="B2216" s="3" t="s">
        <v>3941</v>
      </c>
      <c r="C2216" s="3" t="s">
        <v>3</v>
      </c>
      <c r="D2216" s="3" t="s">
        <v>33</v>
      </c>
      <c r="E2216" s="3" t="s">
        <v>3942</v>
      </c>
      <c r="F2216" s="4">
        <v>43718.583333333336</v>
      </c>
      <c r="G2216" s="3" t="s">
        <v>1963</v>
      </c>
      <c r="H2216" s="3" t="s">
        <v>1631</v>
      </c>
      <c r="I2216" s="3" t="s">
        <v>7043</v>
      </c>
      <c r="J2216" s="3"/>
      <c r="K2216" s="3"/>
      <c r="L2216" s="5"/>
    </row>
    <row r="2217" spans="1:12" ht="43.2" x14ac:dyDescent="0.55000000000000004">
      <c r="A2217" s="9" t="str">
        <f>HYPERLINK("PDF\FOIA-FWS-2020-00724-0002216.pdf","FOIA-FWS-2020-00724-0002216")</f>
        <v>FOIA-FWS-2020-00724-0002216</v>
      </c>
      <c r="B2217" s="3" t="s">
        <v>3943</v>
      </c>
      <c r="C2217" s="3" t="s">
        <v>3</v>
      </c>
      <c r="D2217" s="3" t="s">
        <v>33</v>
      </c>
      <c r="E2217" s="3" t="s">
        <v>3945</v>
      </c>
      <c r="F2217" s="4">
        <v>43718.749305555553</v>
      </c>
      <c r="G2217" s="3" t="s">
        <v>955</v>
      </c>
      <c r="H2217" s="3" t="s">
        <v>3944</v>
      </c>
      <c r="I2217" s="3" t="s">
        <v>7043</v>
      </c>
      <c r="J2217" s="3"/>
      <c r="K2217" s="3"/>
      <c r="L2217" s="5"/>
    </row>
    <row r="2218" spans="1:12" ht="28.8" x14ac:dyDescent="0.55000000000000004">
      <c r="A2218" s="9" t="str">
        <f>HYPERLINK("PDF\FOIA-FWS-2020-00724-0002217.pdf","FOIA-FWS-2020-00724-0002217")</f>
        <v>FOIA-FWS-2020-00724-0002217</v>
      </c>
      <c r="B2218" s="3" t="s">
        <v>3943</v>
      </c>
      <c r="C2218" s="3" t="s">
        <v>234</v>
      </c>
      <c r="D2218" s="3" t="s">
        <v>33</v>
      </c>
      <c r="E2218" s="3" t="s">
        <v>3946</v>
      </c>
      <c r="F2218" s="4">
        <v>43718.749305555553</v>
      </c>
      <c r="G2218" s="3"/>
      <c r="H2218" s="3"/>
      <c r="I2218" s="3" t="s">
        <v>7043</v>
      </c>
      <c r="J2218" s="3"/>
      <c r="K2218" s="3"/>
      <c r="L2218" s="5"/>
    </row>
    <row r="2219" spans="1:12" ht="28.8" x14ac:dyDescent="0.55000000000000004">
      <c r="A2219" s="9" t="str">
        <f>HYPERLINK("PDF\FOIA-FWS-2020-00724-0002218.pdf","FOIA-FWS-2020-00724-0002218")</f>
        <v>FOIA-FWS-2020-00724-0002218</v>
      </c>
      <c r="B2219" s="3" t="s">
        <v>3947</v>
      </c>
      <c r="C2219" s="3" t="s">
        <v>3</v>
      </c>
      <c r="D2219" s="3" t="s">
        <v>33</v>
      </c>
      <c r="E2219" s="3" t="s">
        <v>3948</v>
      </c>
      <c r="F2219" s="4">
        <v>43718.757638888892</v>
      </c>
      <c r="G2219" s="3" t="s">
        <v>872</v>
      </c>
      <c r="H2219" s="3" t="s">
        <v>3123</v>
      </c>
      <c r="I2219" s="3" t="s">
        <v>7043</v>
      </c>
      <c r="J2219" s="3"/>
      <c r="K2219" s="3"/>
      <c r="L2219" s="5"/>
    </row>
    <row r="2220" spans="1:12" ht="28.8" x14ac:dyDescent="0.55000000000000004">
      <c r="A2220" s="9" t="str">
        <f>HYPERLINK("PDF\FOIA-FWS-2020-00724-0002219.pdf","FOIA-FWS-2020-00724-0002219")</f>
        <v>FOIA-FWS-2020-00724-0002219</v>
      </c>
      <c r="B2220" s="3" t="s">
        <v>3947</v>
      </c>
      <c r="C2220" s="3" t="s">
        <v>234</v>
      </c>
      <c r="D2220" s="3" t="s">
        <v>33</v>
      </c>
      <c r="E2220" s="3" t="s">
        <v>3949</v>
      </c>
      <c r="F2220" s="4">
        <v>43718.757638888892</v>
      </c>
      <c r="G2220" s="3"/>
      <c r="H2220" s="3"/>
      <c r="I2220" s="3" t="s">
        <v>7043</v>
      </c>
      <c r="J2220" s="3"/>
      <c r="K2220" s="3"/>
      <c r="L2220" s="5"/>
    </row>
    <row r="2221" spans="1:12" ht="28.8" x14ac:dyDescent="0.55000000000000004">
      <c r="A2221" s="9" t="str">
        <f>HYPERLINK("PDF\FOIA-FWS-2020-00724-0002220.pdf","FOIA-FWS-2020-00724-0002220")</f>
        <v>FOIA-FWS-2020-00724-0002220</v>
      </c>
      <c r="B2221" s="3" t="s">
        <v>3950</v>
      </c>
      <c r="C2221" s="3" t="s">
        <v>3</v>
      </c>
      <c r="D2221" s="3" t="s">
        <v>33</v>
      </c>
      <c r="E2221" s="3" t="s">
        <v>3951</v>
      </c>
      <c r="F2221" s="4">
        <v>43718.763888888891</v>
      </c>
      <c r="G2221" s="3" t="s">
        <v>955</v>
      </c>
      <c r="H2221" s="3" t="s">
        <v>872</v>
      </c>
      <c r="I2221" s="3" t="s">
        <v>7043</v>
      </c>
      <c r="J2221" s="3"/>
      <c r="K2221" s="3"/>
      <c r="L2221" s="5"/>
    </row>
    <row r="2222" spans="1:12" ht="43.2" x14ac:dyDescent="0.55000000000000004">
      <c r="A2222" s="9" t="str">
        <f>HYPERLINK("PDF\FOIA-FWS-2020-00724-0002221.pdf","FOIA-FWS-2020-00724-0002221")</f>
        <v>FOIA-FWS-2020-00724-0002221</v>
      </c>
      <c r="B2222" s="3" t="s">
        <v>3952</v>
      </c>
      <c r="C2222" s="3" t="s">
        <v>3</v>
      </c>
      <c r="D2222" s="3" t="s">
        <v>33</v>
      </c>
      <c r="E2222" s="3" t="s">
        <v>3954</v>
      </c>
      <c r="F2222" s="4">
        <v>43718.770138888889</v>
      </c>
      <c r="G2222" s="3" t="s">
        <v>872</v>
      </c>
      <c r="H2222" s="3" t="s">
        <v>3953</v>
      </c>
      <c r="I2222" s="3" t="s">
        <v>7043</v>
      </c>
      <c r="J2222" s="3"/>
      <c r="K2222" s="3"/>
      <c r="L2222" s="5"/>
    </row>
    <row r="2223" spans="1:12" ht="28.8" x14ac:dyDescent="0.55000000000000004">
      <c r="A2223" s="9" t="str">
        <f>HYPERLINK("PDF\FOIA-FWS-2020-00724-0002222.pdf","FOIA-FWS-2020-00724-0002222")</f>
        <v>FOIA-FWS-2020-00724-0002222</v>
      </c>
      <c r="B2223" s="3" t="s">
        <v>3955</v>
      </c>
      <c r="C2223" s="3" t="s">
        <v>3</v>
      </c>
      <c r="D2223" s="3" t="s">
        <v>33</v>
      </c>
      <c r="E2223" s="3" t="s">
        <v>3942</v>
      </c>
      <c r="F2223" s="4">
        <v>43718.780555555553</v>
      </c>
      <c r="G2223" s="3" t="s">
        <v>963</v>
      </c>
      <c r="H2223" s="3" t="s">
        <v>1963</v>
      </c>
      <c r="I2223" s="3" t="s">
        <v>7043</v>
      </c>
      <c r="J2223" s="3"/>
      <c r="K2223" s="3"/>
      <c r="L2223" s="5"/>
    </row>
    <row r="2224" spans="1:12" ht="28.8" x14ac:dyDescent="0.55000000000000004">
      <c r="A2224" s="9" t="str">
        <f>HYPERLINK("PDF\FOIA-FWS-2020-00724-0002223.pdf","FOIA-FWS-2020-00724-0002223")</f>
        <v>FOIA-FWS-2020-00724-0002223</v>
      </c>
      <c r="B2224" s="3" t="s">
        <v>3956</v>
      </c>
      <c r="C2224" s="3" t="s">
        <v>3</v>
      </c>
      <c r="D2224" s="3" t="s">
        <v>33</v>
      </c>
      <c r="E2224" s="3" t="s">
        <v>3942</v>
      </c>
      <c r="F2224" s="4">
        <v>43719.052083333336</v>
      </c>
      <c r="G2224" s="3" t="s">
        <v>963</v>
      </c>
      <c r="H2224" s="3" t="s">
        <v>872</v>
      </c>
      <c r="I2224" s="3" t="s">
        <v>7043</v>
      </c>
      <c r="J2224" s="3"/>
      <c r="K2224" s="3"/>
      <c r="L2224" s="5"/>
    </row>
    <row r="2225" spans="1:12" ht="28.8" x14ac:dyDescent="0.55000000000000004">
      <c r="A2225" s="9" t="str">
        <f>HYPERLINK("PDF\FOIA-FWS-2020-00724-0002224.pdf","FOIA-FWS-2020-00724-0002224")</f>
        <v>FOIA-FWS-2020-00724-0002224</v>
      </c>
      <c r="B2225" s="3" t="s">
        <v>3956</v>
      </c>
      <c r="C2225" s="3" t="s">
        <v>234</v>
      </c>
      <c r="D2225" s="3" t="s">
        <v>33</v>
      </c>
      <c r="E2225" s="3" t="s">
        <v>3957</v>
      </c>
      <c r="F2225" s="4">
        <v>43719.052083333336</v>
      </c>
      <c r="G2225" s="3"/>
      <c r="H2225" s="3"/>
      <c r="I2225" s="3" t="s">
        <v>7043</v>
      </c>
      <c r="J2225" s="3"/>
      <c r="K2225" s="3"/>
      <c r="L2225" s="5" t="str">
        <f>HYPERLINK("NATIVE_FILES\FOIA-FWS-2020-00724-0002224.xlsx","FOIA-FWS-2020-00724-0002224.xlsx")</f>
        <v>FOIA-FWS-2020-00724-0002224.xlsx</v>
      </c>
    </row>
    <row r="2226" spans="1:12" ht="28.8" x14ac:dyDescent="0.55000000000000004">
      <c r="A2226" s="9" t="str">
        <f>HYPERLINK("PDF\FOIA-FWS-2020-00724-0002225.pdf","FOIA-FWS-2020-00724-0002225")</f>
        <v>FOIA-FWS-2020-00724-0002225</v>
      </c>
      <c r="B2226" s="3" t="s">
        <v>3958</v>
      </c>
      <c r="C2226" s="3" t="s">
        <v>3</v>
      </c>
      <c r="D2226" s="3" t="s">
        <v>33</v>
      </c>
      <c r="E2226" s="3" t="s">
        <v>3959</v>
      </c>
      <c r="F2226" s="4">
        <v>43720.580555555556</v>
      </c>
      <c r="G2226" s="3" t="s">
        <v>872</v>
      </c>
      <c r="H2226" s="3" t="s">
        <v>963</v>
      </c>
      <c r="I2226" s="3" t="s">
        <v>7043</v>
      </c>
      <c r="J2226" s="3"/>
      <c r="K2226" s="3"/>
      <c r="L2226" s="5"/>
    </row>
    <row r="2227" spans="1:12" ht="28.8" x14ac:dyDescent="0.55000000000000004">
      <c r="A2227" s="9" t="str">
        <f>HYPERLINK("PDF\FOIA-FWS-2020-00724-0002226.pdf","FOIA-FWS-2020-00724-0002226")</f>
        <v>FOIA-FWS-2020-00724-0002226</v>
      </c>
      <c r="B2227" s="3" t="s">
        <v>3960</v>
      </c>
      <c r="C2227" s="3" t="s">
        <v>3</v>
      </c>
      <c r="D2227" s="3" t="s">
        <v>33</v>
      </c>
      <c r="E2227" s="3" t="s">
        <v>3961</v>
      </c>
      <c r="F2227" s="4">
        <v>43721</v>
      </c>
      <c r="G2227" s="3"/>
      <c r="H2227" s="3"/>
      <c r="I2227" s="3" t="s">
        <v>7043</v>
      </c>
      <c r="J2227" s="3"/>
      <c r="K2227" s="3"/>
      <c r="L2227" s="5"/>
    </row>
    <row r="2228" spans="1:12" ht="28.8" x14ac:dyDescent="0.55000000000000004">
      <c r="A2228" s="9" t="str">
        <f>HYPERLINK("PDF\FOIA-FWS-2020-00724-0002227.pdf","FOIA-FWS-2020-00724-0002227")</f>
        <v>FOIA-FWS-2020-00724-0002227</v>
      </c>
      <c r="B2228" s="3" t="s">
        <v>3962</v>
      </c>
      <c r="C2228" s="3" t="s">
        <v>3</v>
      </c>
      <c r="D2228" s="3" t="s">
        <v>33</v>
      </c>
      <c r="E2228" s="3" t="s">
        <v>3964</v>
      </c>
      <c r="F2228" s="4">
        <v>43724.80972222222</v>
      </c>
      <c r="G2228" s="3" t="s">
        <v>872</v>
      </c>
      <c r="H2228" s="3" t="s">
        <v>3963</v>
      </c>
      <c r="I2228" s="3" t="s">
        <v>7043</v>
      </c>
      <c r="J2228" s="3"/>
      <c r="K2228" s="3"/>
      <c r="L2228" s="5"/>
    </row>
    <row r="2229" spans="1:12" ht="28.8" x14ac:dyDescent="0.55000000000000004">
      <c r="A2229" s="9" t="str">
        <f>HYPERLINK("PDF\FOIA-FWS-2020-00724-0002228.pdf","FOIA-FWS-2020-00724-0002228")</f>
        <v>FOIA-FWS-2020-00724-0002228</v>
      </c>
      <c r="B2229" s="3" t="s">
        <v>3962</v>
      </c>
      <c r="C2229" s="3" t="s">
        <v>234</v>
      </c>
      <c r="D2229" s="3" t="s">
        <v>4</v>
      </c>
      <c r="E2229" s="3" t="s">
        <v>3965</v>
      </c>
      <c r="F2229" s="4">
        <v>43724.80972222222</v>
      </c>
      <c r="G2229" s="3"/>
      <c r="H2229" s="3"/>
      <c r="I2229" s="3" t="s">
        <v>7043</v>
      </c>
      <c r="J2229" s="3"/>
      <c r="K2229" s="3"/>
      <c r="L2229" s="5"/>
    </row>
    <row r="2230" spans="1:12" ht="43.2" x14ac:dyDescent="0.55000000000000004">
      <c r="A2230" s="9" t="str">
        <f>HYPERLINK("PDF\FOIA-FWS-2020-00724-0002229.pdf","FOIA-FWS-2020-00724-0002229")</f>
        <v>FOIA-FWS-2020-00724-0002229</v>
      </c>
      <c r="B2230" s="3" t="s">
        <v>3966</v>
      </c>
      <c r="C2230" s="3" t="s">
        <v>3</v>
      </c>
      <c r="D2230" s="3" t="s">
        <v>4</v>
      </c>
      <c r="E2230" s="3" t="s">
        <v>3967</v>
      </c>
      <c r="F2230" s="4">
        <v>43726</v>
      </c>
      <c r="G2230" s="3"/>
      <c r="H2230" s="3"/>
      <c r="I2230" s="3" t="s">
        <v>7043</v>
      </c>
      <c r="J2230" s="3"/>
      <c r="K2230" s="3"/>
      <c r="L2230" s="5"/>
    </row>
    <row r="2231" spans="1:12" ht="72" x14ac:dyDescent="0.55000000000000004">
      <c r="A2231" s="9" t="str">
        <f>HYPERLINK("PDF\FOIA-FWS-2020-00724-0002230.pdf","FOIA-FWS-2020-00724-0002230")</f>
        <v>FOIA-FWS-2020-00724-0002230</v>
      </c>
      <c r="B2231" s="3" t="s">
        <v>3968</v>
      </c>
      <c r="C2231" s="3" t="s">
        <v>3</v>
      </c>
      <c r="D2231" s="3" t="s">
        <v>33</v>
      </c>
      <c r="E2231" s="3" t="s">
        <v>3969</v>
      </c>
      <c r="F2231" s="4">
        <v>43727.648611111108</v>
      </c>
      <c r="G2231" s="3" t="s">
        <v>963</v>
      </c>
      <c r="H2231" s="3" t="s">
        <v>945</v>
      </c>
      <c r="I2231" s="3" t="s">
        <v>7043</v>
      </c>
      <c r="J2231" s="3"/>
      <c r="K2231" s="3"/>
      <c r="L2231" s="5"/>
    </row>
    <row r="2232" spans="1:12" ht="28.8" x14ac:dyDescent="0.55000000000000004">
      <c r="A2232" s="9" t="str">
        <f>HYPERLINK("PDF\FOIA-FWS-2020-00724-0002231.pdf","FOIA-FWS-2020-00724-0002231")</f>
        <v>FOIA-FWS-2020-00724-0002231</v>
      </c>
      <c r="B2232" s="3" t="s">
        <v>3970</v>
      </c>
      <c r="C2232" s="3" t="s">
        <v>3</v>
      </c>
      <c r="D2232" s="3" t="s">
        <v>33</v>
      </c>
      <c r="E2232" s="3" t="s">
        <v>3973</v>
      </c>
      <c r="F2232" s="4">
        <v>43728</v>
      </c>
      <c r="G2232" s="3" t="s">
        <v>3971</v>
      </c>
      <c r="H2232" s="3" t="s">
        <v>3972</v>
      </c>
      <c r="I2232" s="3" t="s">
        <v>7043</v>
      </c>
      <c r="J2232" s="3"/>
      <c r="K2232" s="3"/>
      <c r="L2232" s="5"/>
    </row>
    <row r="2233" spans="1:12" ht="28.8" x14ac:dyDescent="0.55000000000000004">
      <c r="A2233" s="9" t="str">
        <f>HYPERLINK("PDF\FOIA-FWS-2020-00724-0002232.pdf","FOIA-FWS-2020-00724-0002232")</f>
        <v>FOIA-FWS-2020-00724-0002232</v>
      </c>
      <c r="B2233" s="3" t="s">
        <v>3970</v>
      </c>
      <c r="C2233" s="3" t="s">
        <v>234</v>
      </c>
      <c r="D2233" s="3" t="s">
        <v>33</v>
      </c>
      <c r="E2233" s="3" t="s">
        <v>3976</v>
      </c>
      <c r="F2233" s="4">
        <v>43728</v>
      </c>
      <c r="G2233" s="3" t="s">
        <v>3974</v>
      </c>
      <c r="H2233" s="3" t="s">
        <v>3975</v>
      </c>
      <c r="I2233" s="3" t="s">
        <v>7043</v>
      </c>
      <c r="J2233" s="3"/>
      <c r="K2233" s="3"/>
      <c r="L2233" s="5"/>
    </row>
    <row r="2234" spans="1:12" ht="28.8" x14ac:dyDescent="0.55000000000000004">
      <c r="A2234" s="9" t="str">
        <f>HYPERLINK("PDF\FOIA-FWS-2020-00724-0002233.pdf","FOIA-FWS-2020-00724-0002233")</f>
        <v>FOIA-FWS-2020-00724-0002233</v>
      </c>
      <c r="B2234" s="3" t="s">
        <v>3977</v>
      </c>
      <c r="C2234" s="3" t="s">
        <v>3</v>
      </c>
      <c r="D2234" s="3" t="s">
        <v>33</v>
      </c>
      <c r="E2234" s="3" t="s">
        <v>3978</v>
      </c>
      <c r="F2234" s="4">
        <v>43728.793055555558</v>
      </c>
      <c r="G2234" s="3" t="s">
        <v>1392</v>
      </c>
      <c r="H2234" s="3" t="s">
        <v>955</v>
      </c>
      <c r="I2234" s="3" t="s">
        <v>7043</v>
      </c>
      <c r="J2234" s="3"/>
      <c r="K2234" s="3"/>
      <c r="L2234" s="5"/>
    </row>
    <row r="2235" spans="1:12" ht="28.8" x14ac:dyDescent="0.55000000000000004">
      <c r="A2235" s="9" t="str">
        <f>HYPERLINK("PDF\FOIA-FWS-2020-00724-0002234.pdf","FOIA-FWS-2020-00724-0002234")</f>
        <v>FOIA-FWS-2020-00724-0002234</v>
      </c>
      <c r="B2235" s="3" t="s">
        <v>3977</v>
      </c>
      <c r="C2235" s="3" t="s">
        <v>234</v>
      </c>
      <c r="D2235" s="3" t="s">
        <v>160</v>
      </c>
      <c r="E2235" s="3" t="s">
        <v>1103</v>
      </c>
      <c r="F2235" s="4">
        <v>43728.793055555558</v>
      </c>
      <c r="G2235" s="3"/>
      <c r="H2235" s="3"/>
      <c r="I2235" s="3" t="s">
        <v>7043</v>
      </c>
      <c r="J2235" s="3"/>
      <c r="K2235" s="3"/>
      <c r="L2235" s="5" t="str">
        <f>HYPERLINK("NATIVE_FILES\FOIA-FWS-2020-00724-0002234.lyr","FOIA-FWS-2020-00724-0002234.lyr")</f>
        <v>FOIA-FWS-2020-00724-0002234.lyr</v>
      </c>
    </row>
    <row r="2236" spans="1:12" ht="28.8" x14ac:dyDescent="0.55000000000000004">
      <c r="A2236" s="9" t="str">
        <f>HYPERLINK("PDF\FOIA-FWS-2020-00724-0002235.pdf","FOIA-FWS-2020-00724-0002235")</f>
        <v>FOIA-FWS-2020-00724-0002235</v>
      </c>
      <c r="B2236" s="3" t="s">
        <v>3977</v>
      </c>
      <c r="C2236" s="3" t="s">
        <v>234</v>
      </c>
      <c r="D2236" s="3" t="s">
        <v>160</v>
      </c>
      <c r="E2236" s="3" t="s">
        <v>1104</v>
      </c>
      <c r="F2236" s="4">
        <v>43728.793055555558</v>
      </c>
      <c r="G2236" s="3"/>
      <c r="H2236" s="3"/>
      <c r="I2236" s="3" t="s">
        <v>7043</v>
      </c>
      <c r="J2236" s="3"/>
      <c r="K2236" s="3"/>
      <c r="L2236" s="5" t="str">
        <f>HYPERLINK("NATIVE_FILES\FOIA-FWS-2020-00724-0002235.ovr","FOIA-FWS-2020-00724-0002235.ovr")</f>
        <v>FOIA-FWS-2020-00724-0002235.ovr</v>
      </c>
    </row>
    <row r="2237" spans="1:12" ht="28.8" x14ac:dyDescent="0.55000000000000004">
      <c r="A2237" s="9" t="str">
        <f>HYPERLINK("PDF\FOIA-FWS-2020-00724-0002236.pdf","FOIA-FWS-2020-00724-0002236")</f>
        <v>FOIA-FWS-2020-00724-0002236</v>
      </c>
      <c r="B2237" s="3" t="s">
        <v>3977</v>
      </c>
      <c r="C2237" s="3" t="s">
        <v>234</v>
      </c>
      <c r="D2237" s="3" t="s">
        <v>160</v>
      </c>
      <c r="E2237" s="3" t="s">
        <v>1075</v>
      </c>
      <c r="F2237" s="4">
        <v>43728.793055555558</v>
      </c>
      <c r="G2237" s="3"/>
      <c r="H2237" s="3"/>
      <c r="I2237" s="3" t="s">
        <v>7043</v>
      </c>
      <c r="J2237" s="3"/>
      <c r="K2237" s="3"/>
      <c r="L2237" s="5" t="str">
        <f>HYPERLINK("NATIVE_FILES\FOIA-FWS-2020-00724-0002236.adf","FOIA-FWS-2020-00724-0002236.adf")</f>
        <v>FOIA-FWS-2020-00724-0002236.adf</v>
      </c>
    </row>
    <row r="2238" spans="1:12" ht="28.8" x14ac:dyDescent="0.55000000000000004">
      <c r="A2238" s="9" t="str">
        <f>HYPERLINK("PDF\FOIA-FWS-2020-00724-0002237.pdf","FOIA-FWS-2020-00724-0002237")</f>
        <v>FOIA-FWS-2020-00724-0002237</v>
      </c>
      <c r="B2238" s="3" t="s">
        <v>3977</v>
      </c>
      <c r="C2238" s="3" t="s">
        <v>234</v>
      </c>
      <c r="D2238" s="3" t="s">
        <v>160</v>
      </c>
      <c r="E2238" s="3" t="s">
        <v>1076</v>
      </c>
      <c r="F2238" s="4">
        <v>43728.793055555558</v>
      </c>
      <c r="G2238" s="3"/>
      <c r="H2238" s="3"/>
      <c r="I2238" s="3" t="s">
        <v>7043</v>
      </c>
      <c r="J2238" s="3"/>
      <c r="K2238" s="3"/>
      <c r="L2238" s="5" t="str">
        <f>HYPERLINK("NATIVE_FILES\FOIA-FWS-2020-00724-0002237.xml","FOIA-FWS-2020-00724-0002237.xml")</f>
        <v>FOIA-FWS-2020-00724-0002237.xml</v>
      </c>
    </row>
    <row r="2239" spans="1:12" ht="28.8" x14ac:dyDescent="0.55000000000000004">
      <c r="A2239" s="9" t="str">
        <f>HYPERLINK("PDF\FOIA-FWS-2020-00724-0002238.pdf","FOIA-FWS-2020-00724-0002238")</f>
        <v>FOIA-FWS-2020-00724-0002238</v>
      </c>
      <c r="B2239" s="3" t="s">
        <v>3977</v>
      </c>
      <c r="C2239" s="3" t="s">
        <v>234</v>
      </c>
      <c r="D2239" s="3" t="s">
        <v>160</v>
      </c>
      <c r="E2239" s="3" t="s">
        <v>1077</v>
      </c>
      <c r="F2239" s="4">
        <v>43728.793055555558</v>
      </c>
      <c r="G2239" s="3"/>
      <c r="H2239" s="3"/>
      <c r="I2239" s="3" t="s">
        <v>7043</v>
      </c>
      <c r="J2239" s="3"/>
      <c r="K2239" s="3"/>
      <c r="L2239" s="5" t="str">
        <f>HYPERLINK("NATIVE_FILES\FOIA-FWS-2020-00724-0002238.adf","FOIA-FWS-2020-00724-0002238.adf")</f>
        <v>FOIA-FWS-2020-00724-0002238.adf</v>
      </c>
    </row>
    <row r="2240" spans="1:12" ht="28.8" x14ac:dyDescent="0.55000000000000004">
      <c r="A2240" s="9" t="str">
        <f>HYPERLINK("PDF\FOIA-FWS-2020-00724-0002239.pdf","FOIA-FWS-2020-00724-0002239")</f>
        <v>FOIA-FWS-2020-00724-0002239</v>
      </c>
      <c r="B2240" s="3" t="s">
        <v>3977</v>
      </c>
      <c r="C2240" s="3" t="s">
        <v>234</v>
      </c>
      <c r="D2240" s="3" t="s">
        <v>160</v>
      </c>
      <c r="E2240" s="3" t="s">
        <v>1078</v>
      </c>
      <c r="F2240" s="4">
        <v>43728.793055555558</v>
      </c>
      <c r="G2240" s="3"/>
      <c r="H2240" s="3"/>
      <c r="I2240" s="3" t="s">
        <v>7043</v>
      </c>
      <c r="J2240" s="3"/>
      <c r="K2240" s="3"/>
      <c r="L2240" s="5" t="str">
        <f>HYPERLINK("NATIVE_FILES\FOIA-FWS-2020-00724-0002239.xml","FOIA-FWS-2020-00724-0002239.xml")</f>
        <v>FOIA-FWS-2020-00724-0002239.xml</v>
      </c>
    </row>
    <row r="2241" spans="1:12" ht="28.8" x14ac:dyDescent="0.55000000000000004">
      <c r="A2241" s="9" t="str">
        <f>HYPERLINK("PDF\FOIA-FWS-2020-00724-0002240.pdf","FOIA-FWS-2020-00724-0002240")</f>
        <v>FOIA-FWS-2020-00724-0002240</v>
      </c>
      <c r="B2241" s="3" t="s">
        <v>3977</v>
      </c>
      <c r="C2241" s="3" t="s">
        <v>234</v>
      </c>
      <c r="D2241" s="3" t="s">
        <v>160</v>
      </c>
      <c r="E2241" s="3" t="s">
        <v>1079</v>
      </c>
      <c r="F2241" s="4">
        <v>43728.793055555558</v>
      </c>
      <c r="G2241" s="3"/>
      <c r="H2241" s="3"/>
      <c r="I2241" s="3" t="s">
        <v>7043</v>
      </c>
      <c r="J2241" s="3"/>
      <c r="K2241" s="3"/>
      <c r="L2241" s="5" t="str">
        <f>HYPERLINK("NATIVE_FILES\FOIA-FWS-2020-00724-0002240.adf","FOIA-FWS-2020-00724-0002240.adf")</f>
        <v>FOIA-FWS-2020-00724-0002240.adf</v>
      </c>
    </row>
    <row r="2242" spans="1:12" ht="28.8" x14ac:dyDescent="0.55000000000000004">
      <c r="A2242" s="9" t="str">
        <f>HYPERLINK("PDF\FOIA-FWS-2020-00724-0002241.pdf","FOIA-FWS-2020-00724-0002241")</f>
        <v>FOIA-FWS-2020-00724-0002241</v>
      </c>
      <c r="B2242" s="3" t="s">
        <v>3977</v>
      </c>
      <c r="C2242" s="3" t="s">
        <v>234</v>
      </c>
      <c r="D2242" s="3" t="s">
        <v>160</v>
      </c>
      <c r="E2242" s="3" t="s">
        <v>1080</v>
      </c>
      <c r="F2242" s="4">
        <v>43728.793055555558</v>
      </c>
      <c r="G2242" s="3"/>
      <c r="H2242" s="3"/>
      <c r="I2242" s="3" t="s">
        <v>7043</v>
      </c>
      <c r="J2242" s="3"/>
      <c r="K2242" s="3"/>
      <c r="L2242" s="5" t="str">
        <f>HYPERLINK("NATIVE_FILES\FOIA-FWS-2020-00724-0002241.adf","FOIA-FWS-2020-00724-0002241.adf")</f>
        <v>FOIA-FWS-2020-00724-0002241.adf</v>
      </c>
    </row>
    <row r="2243" spans="1:12" ht="28.8" x14ac:dyDescent="0.55000000000000004">
      <c r="A2243" s="9" t="str">
        <f>HYPERLINK("PDF\FOIA-FWS-2020-00724-0002242.pdf","FOIA-FWS-2020-00724-0002242")</f>
        <v>FOIA-FWS-2020-00724-0002242</v>
      </c>
      <c r="B2243" s="3" t="s">
        <v>3977</v>
      </c>
      <c r="C2243" s="3" t="s">
        <v>234</v>
      </c>
      <c r="D2243" s="3" t="s">
        <v>160</v>
      </c>
      <c r="E2243" s="3" t="s">
        <v>1081</v>
      </c>
      <c r="F2243" s="4">
        <v>43728.793055555558</v>
      </c>
      <c r="G2243" s="3"/>
      <c r="H2243" s="3"/>
      <c r="I2243" s="3" t="s">
        <v>7043</v>
      </c>
      <c r="J2243" s="3"/>
      <c r="K2243" s="3"/>
      <c r="L2243" s="5" t="str">
        <f>HYPERLINK("NATIVE_FILES\FOIA-FWS-2020-00724-0002242.adf","FOIA-FWS-2020-00724-0002242.adf")</f>
        <v>FOIA-FWS-2020-00724-0002242.adf</v>
      </c>
    </row>
    <row r="2244" spans="1:12" ht="28.8" x14ac:dyDescent="0.55000000000000004">
      <c r="A2244" s="9" t="str">
        <f>HYPERLINK("PDF\FOIA-FWS-2020-00724-0002243.pdf","FOIA-FWS-2020-00724-0002243")</f>
        <v>FOIA-FWS-2020-00724-0002243</v>
      </c>
      <c r="B2244" s="3" t="s">
        <v>3977</v>
      </c>
      <c r="C2244" s="3" t="s">
        <v>234</v>
      </c>
      <c r="D2244" s="3" t="s">
        <v>160</v>
      </c>
      <c r="E2244" s="3" t="s">
        <v>1082</v>
      </c>
      <c r="F2244" s="4">
        <v>43728.793055555558</v>
      </c>
      <c r="G2244" s="3"/>
      <c r="H2244" s="3"/>
      <c r="I2244" s="3" t="s">
        <v>7043</v>
      </c>
      <c r="J2244" s="3"/>
      <c r="K2244" s="3"/>
      <c r="L2244" s="5" t="str">
        <f>HYPERLINK("NATIVE_FILES\FOIA-FWS-2020-00724-0002243.adf","FOIA-FWS-2020-00724-0002243.adf")</f>
        <v>FOIA-FWS-2020-00724-0002243.adf</v>
      </c>
    </row>
    <row r="2245" spans="1:12" ht="28.8" x14ac:dyDescent="0.55000000000000004">
      <c r="A2245" s="9" t="str">
        <f>HYPERLINK("PDF\FOIA-FWS-2020-00724-0002244.pdf","FOIA-FWS-2020-00724-0002244")</f>
        <v>FOIA-FWS-2020-00724-0002244</v>
      </c>
      <c r="B2245" s="3" t="s">
        <v>3977</v>
      </c>
      <c r="C2245" s="3" t="s">
        <v>234</v>
      </c>
      <c r="D2245" s="3" t="s">
        <v>160</v>
      </c>
      <c r="E2245" s="3" t="s">
        <v>1083</v>
      </c>
      <c r="F2245" s="4">
        <v>43728.793055555558</v>
      </c>
      <c r="G2245" s="3"/>
      <c r="H2245" s="3"/>
      <c r="I2245" s="3" t="s">
        <v>7043</v>
      </c>
      <c r="J2245" s="3"/>
      <c r="K2245" s="3"/>
      <c r="L2245" s="5" t="str">
        <f>HYPERLINK("NATIVE_FILES\FOIA-FWS-2020-00724-0002244.adf","FOIA-FWS-2020-00724-0002244.adf")</f>
        <v>FOIA-FWS-2020-00724-0002244.adf</v>
      </c>
    </row>
    <row r="2246" spans="1:12" ht="28.8" x14ac:dyDescent="0.55000000000000004">
      <c r="A2246" s="9" t="str">
        <f>HYPERLINK("PDF\FOIA-FWS-2020-00724-0002245.pdf","FOIA-FWS-2020-00724-0002245")</f>
        <v>FOIA-FWS-2020-00724-0002245</v>
      </c>
      <c r="B2246" s="3" t="s">
        <v>3977</v>
      </c>
      <c r="C2246" s="3" t="s">
        <v>234</v>
      </c>
      <c r="D2246" s="3" t="s">
        <v>160</v>
      </c>
      <c r="E2246" s="3" t="s">
        <v>1096</v>
      </c>
      <c r="F2246" s="4">
        <v>43728.793055555558</v>
      </c>
      <c r="G2246" s="3"/>
      <c r="H2246" s="3"/>
      <c r="I2246" s="3" t="s">
        <v>7043</v>
      </c>
      <c r="J2246" s="3"/>
      <c r="K2246" s="3"/>
      <c r="L2246" s="5" t="str">
        <f>HYPERLINK("NATIVE_FILES\FOIA-FWS-2020-00724-0002245.dir","FOIA-FWS-2020-00724-0002245.dir")</f>
        <v>FOIA-FWS-2020-00724-0002245.dir</v>
      </c>
    </row>
    <row r="2247" spans="1:12" ht="28.8" x14ac:dyDescent="0.55000000000000004">
      <c r="A2247" s="9" t="str">
        <f>HYPERLINK("PDF\FOIA-FWS-2020-00724-0002246.pdf","FOIA-FWS-2020-00724-0002246")</f>
        <v>FOIA-FWS-2020-00724-0002246</v>
      </c>
      <c r="B2247" s="3" t="s">
        <v>3977</v>
      </c>
      <c r="C2247" s="3" t="s">
        <v>234</v>
      </c>
      <c r="D2247" s="3" t="s">
        <v>160</v>
      </c>
      <c r="E2247" s="3" t="s">
        <v>1097</v>
      </c>
      <c r="F2247" s="4">
        <v>43728.793055555558</v>
      </c>
      <c r="G2247" s="3"/>
      <c r="H2247" s="3"/>
      <c r="I2247" s="3" t="s">
        <v>7043</v>
      </c>
      <c r="J2247" s="3"/>
      <c r="K2247" s="3"/>
      <c r="L2247" s="5" t="str">
        <f>HYPERLINK("NATIVE_FILES\FOIA-FWS-2020-00724-0002246.dat","FOIA-FWS-2020-00724-0002246.dat")</f>
        <v>FOIA-FWS-2020-00724-0002246.dat</v>
      </c>
    </row>
    <row r="2248" spans="1:12" ht="28.8" x14ac:dyDescent="0.55000000000000004">
      <c r="A2248" s="9" t="str">
        <f>HYPERLINK("PDF\FOIA-FWS-2020-00724-0002247.pdf","FOIA-FWS-2020-00724-0002247")</f>
        <v>FOIA-FWS-2020-00724-0002247</v>
      </c>
      <c r="B2248" s="3" t="s">
        <v>3977</v>
      </c>
      <c r="C2248" s="3" t="s">
        <v>234</v>
      </c>
      <c r="D2248" s="3" t="s">
        <v>160</v>
      </c>
      <c r="E2248" s="3" t="s">
        <v>1098</v>
      </c>
      <c r="F2248" s="4">
        <v>43728.793055555558</v>
      </c>
      <c r="G2248" s="3"/>
      <c r="H2248" s="3"/>
      <c r="I2248" s="3" t="s">
        <v>7043</v>
      </c>
      <c r="J2248" s="3"/>
      <c r="K2248" s="3"/>
      <c r="L2248" s="5" t="str">
        <f>HYPERLINK("NATIVE_FILES\FOIA-FWS-2020-00724-0002247.nit","FOIA-FWS-2020-00724-0002247.nit")</f>
        <v>FOIA-FWS-2020-00724-0002247.nit</v>
      </c>
    </row>
    <row r="2249" spans="1:12" ht="28.8" x14ac:dyDescent="0.55000000000000004">
      <c r="A2249" s="9" t="str">
        <f>HYPERLINK("PDF\FOIA-FWS-2020-00724-0002248.pdf","FOIA-FWS-2020-00724-0002248")</f>
        <v>FOIA-FWS-2020-00724-0002248</v>
      </c>
      <c r="B2249" s="3" t="s">
        <v>3977</v>
      </c>
      <c r="C2249" s="3" t="s">
        <v>234</v>
      </c>
      <c r="D2249" s="3" t="s">
        <v>160</v>
      </c>
      <c r="E2249" s="3" t="s">
        <v>1099</v>
      </c>
      <c r="F2249" s="4">
        <v>43728.793055555558</v>
      </c>
      <c r="G2249" s="3"/>
      <c r="H2249" s="3"/>
      <c r="I2249" s="3" t="s">
        <v>7043</v>
      </c>
      <c r="J2249" s="3"/>
      <c r="K2249" s="3"/>
      <c r="L2249" s="5" t="str">
        <f>HYPERLINK("NATIVE_FILES\FOIA-FWS-2020-00724-0002248.dat","FOIA-FWS-2020-00724-0002248.dat")</f>
        <v>FOIA-FWS-2020-00724-0002248.dat</v>
      </c>
    </row>
    <row r="2250" spans="1:12" ht="28.8" x14ac:dyDescent="0.55000000000000004">
      <c r="A2250" s="9" t="str">
        <f>HYPERLINK("PDF\FOIA-FWS-2020-00724-0002249.pdf","FOIA-FWS-2020-00724-0002249")</f>
        <v>FOIA-FWS-2020-00724-0002249</v>
      </c>
      <c r="B2250" s="3" t="s">
        <v>3977</v>
      </c>
      <c r="C2250" s="3" t="s">
        <v>234</v>
      </c>
      <c r="D2250" s="3" t="s">
        <v>160</v>
      </c>
      <c r="E2250" s="3" t="s">
        <v>1100</v>
      </c>
      <c r="F2250" s="4">
        <v>43728.793055555558</v>
      </c>
      <c r="G2250" s="3"/>
      <c r="H2250" s="3"/>
      <c r="I2250" s="3" t="s">
        <v>7043</v>
      </c>
      <c r="J2250" s="3"/>
      <c r="K2250" s="3"/>
      <c r="L2250" s="5" t="str">
        <f>HYPERLINK("NATIVE_FILES\FOIA-FWS-2020-00724-0002249.nit","FOIA-FWS-2020-00724-0002249.nit")</f>
        <v>FOIA-FWS-2020-00724-0002249.nit</v>
      </c>
    </row>
    <row r="2251" spans="1:12" ht="28.8" x14ac:dyDescent="0.55000000000000004">
      <c r="A2251" s="9" t="str">
        <f>HYPERLINK("PDF\FOIA-FWS-2020-00724-0002250.pdf","FOIA-FWS-2020-00724-0002250")</f>
        <v>FOIA-FWS-2020-00724-0002250</v>
      </c>
      <c r="B2251" s="3" t="s">
        <v>3977</v>
      </c>
      <c r="C2251" s="3" t="s">
        <v>234</v>
      </c>
      <c r="D2251" s="3" t="s">
        <v>160</v>
      </c>
      <c r="E2251" s="3" t="s">
        <v>1101</v>
      </c>
      <c r="F2251" s="4">
        <v>43728.793055555558</v>
      </c>
      <c r="G2251" s="3"/>
      <c r="H2251" s="3"/>
      <c r="I2251" s="3" t="s">
        <v>7043</v>
      </c>
      <c r="J2251" s="3"/>
      <c r="K2251" s="3"/>
      <c r="L2251" s="5" t="str">
        <f>HYPERLINK("NATIVE_FILES\FOIA-FWS-2020-00724-0002250.dat","FOIA-FWS-2020-00724-0002250.dat")</f>
        <v>FOIA-FWS-2020-00724-0002250.dat</v>
      </c>
    </row>
    <row r="2252" spans="1:12" ht="28.8" x14ac:dyDescent="0.55000000000000004">
      <c r="A2252" s="9" t="str">
        <f>HYPERLINK("PDF\FOIA-FWS-2020-00724-0002251.pdf","FOIA-FWS-2020-00724-0002251")</f>
        <v>FOIA-FWS-2020-00724-0002251</v>
      </c>
      <c r="B2252" s="3" t="s">
        <v>3977</v>
      </c>
      <c r="C2252" s="3" t="s">
        <v>234</v>
      </c>
      <c r="D2252" s="3" t="s">
        <v>160</v>
      </c>
      <c r="E2252" s="3" t="s">
        <v>1102</v>
      </c>
      <c r="F2252" s="4">
        <v>43728.793055555558</v>
      </c>
      <c r="G2252" s="3"/>
      <c r="H2252" s="3"/>
      <c r="I2252" s="3" t="s">
        <v>7043</v>
      </c>
      <c r="J2252" s="3"/>
      <c r="K2252" s="3"/>
      <c r="L2252" s="5" t="str">
        <f>HYPERLINK("NATIVE_FILES\FOIA-FWS-2020-00724-0002251.nit","FOIA-FWS-2020-00724-0002251.nit")</f>
        <v>FOIA-FWS-2020-00724-0002251.nit</v>
      </c>
    </row>
    <row r="2253" spans="1:12" ht="28.8" x14ac:dyDescent="0.55000000000000004">
      <c r="A2253" s="9" t="str">
        <f>HYPERLINK("PDF\FOIA-FWS-2020-00724-0002252.pdf","FOIA-FWS-2020-00724-0002252")</f>
        <v>FOIA-FWS-2020-00724-0002252</v>
      </c>
      <c r="B2253" s="3" t="s">
        <v>3977</v>
      </c>
      <c r="C2253" s="3" t="s">
        <v>234</v>
      </c>
      <c r="D2253" s="3" t="s">
        <v>160</v>
      </c>
      <c r="E2253" s="3" t="s">
        <v>3979</v>
      </c>
      <c r="F2253" s="4">
        <v>43728.793055555558</v>
      </c>
      <c r="G2253" s="3"/>
      <c r="H2253" s="3"/>
      <c r="I2253" s="3" t="s">
        <v>7043</v>
      </c>
      <c r="J2253" s="3"/>
      <c r="K2253" s="3"/>
      <c r="L2253" s="5" t="str">
        <f>HYPERLINK("NATIVE_FILES\FOIA-FWS-2020-00724-0002252.xml","FOIA-FWS-2020-00724-0002252.xml")</f>
        <v>FOIA-FWS-2020-00724-0002252.xml</v>
      </c>
    </row>
    <row r="2254" spans="1:12" ht="28.8" x14ac:dyDescent="0.55000000000000004">
      <c r="A2254" s="9" t="str">
        <f>HYPERLINK("PDF\FOIA-FWS-2020-00724-0002253.pdf","FOIA-FWS-2020-00724-0002253")</f>
        <v>FOIA-FWS-2020-00724-0002253</v>
      </c>
      <c r="B2254" s="3" t="s">
        <v>3977</v>
      </c>
      <c r="C2254" s="3" t="s">
        <v>234</v>
      </c>
      <c r="D2254" s="3" t="s">
        <v>160</v>
      </c>
      <c r="E2254" s="3" t="s">
        <v>3980</v>
      </c>
      <c r="F2254" s="4">
        <v>43728.793055555558</v>
      </c>
      <c r="G2254" s="3"/>
      <c r="H2254" s="3"/>
      <c r="I2254" s="3" t="s">
        <v>7043</v>
      </c>
      <c r="J2254" s="3"/>
      <c r="K2254" s="3"/>
      <c r="L2254" s="5"/>
    </row>
    <row r="2255" spans="1:12" ht="28.8" x14ac:dyDescent="0.55000000000000004">
      <c r="A2255" s="9" t="str">
        <f>HYPERLINK("PDF\FOIA-FWS-2020-00724-0002254.pdf","FOIA-FWS-2020-00724-0002254")</f>
        <v>FOIA-FWS-2020-00724-0002254</v>
      </c>
      <c r="B2255" s="3" t="s">
        <v>3977</v>
      </c>
      <c r="C2255" s="3" t="s">
        <v>234</v>
      </c>
      <c r="D2255" s="3" t="s">
        <v>160</v>
      </c>
      <c r="E2255" s="3" t="s">
        <v>3981</v>
      </c>
      <c r="F2255" s="4">
        <v>43728.793055555558</v>
      </c>
      <c r="G2255" s="3"/>
      <c r="H2255" s="3"/>
      <c r="I2255" s="3" t="s">
        <v>7043</v>
      </c>
      <c r="J2255" s="3"/>
      <c r="K2255" s="3"/>
      <c r="L2255" s="5" t="str">
        <f>HYPERLINK("NATIVE_FILES\FOIA-FWS-2020-00724-0002254.xml","FOIA-FWS-2020-00724-0002254.xml")</f>
        <v>FOIA-FWS-2020-00724-0002254.xml</v>
      </c>
    </row>
    <row r="2256" spans="1:12" ht="28.8" x14ac:dyDescent="0.55000000000000004">
      <c r="A2256" s="9" t="str">
        <f>HYPERLINK("PDF\FOIA-FWS-2020-00724-0002255.pdf","FOIA-FWS-2020-00724-0002255")</f>
        <v>FOIA-FWS-2020-00724-0002255</v>
      </c>
      <c r="B2256" s="3" t="s">
        <v>3977</v>
      </c>
      <c r="C2256" s="3" t="s">
        <v>234</v>
      </c>
      <c r="D2256" s="3" t="s">
        <v>160</v>
      </c>
      <c r="E2256" s="3" t="s">
        <v>3982</v>
      </c>
      <c r="F2256" s="4">
        <v>43728.793055555558</v>
      </c>
      <c r="G2256" s="3"/>
      <c r="H2256" s="3"/>
      <c r="I2256" s="3" t="s">
        <v>7043</v>
      </c>
      <c r="J2256" s="3"/>
      <c r="K2256" s="3"/>
      <c r="L2256" s="5"/>
    </row>
    <row r="2257" spans="1:12" ht="28.8" x14ac:dyDescent="0.55000000000000004">
      <c r="A2257" s="9" t="str">
        <f>HYPERLINK("PDF\FOIA-FWS-2020-00724-0002256.pdf","FOIA-FWS-2020-00724-0002256")</f>
        <v>FOIA-FWS-2020-00724-0002256</v>
      </c>
      <c r="B2257" s="3" t="s">
        <v>3977</v>
      </c>
      <c r="C2257" s="3" t="s">
        <v>234</v>
      </c>
      <c r="D2257" s="3" t="s">
        <v>160</v>
      </c>
      <c r="E2257" s="3" t="s">
        <v>3983</v>
      </c>
      <c r="F2257" s="4">
        <v>43728.793055555558</v>
      </c>
      <c r="G2257" s="3"/>
      <c r="H2257" s="3"/>
      <c r="I2257" s="3" t="s">
        <v>7043</v>
      </c>
      <c r="J2257" s="3"/>
      <c r="K2257" s="3"/>
      <c r="L2257" s="5" t="str">
        <f>HYPERLINK("NATIVE_FILES\FOIA-FWS-2020-00724-0002256.lyr","FOIA-FWS-2020-00724-0002256.lyr")</f>
        <v>FOIA-FWS-2020-00724-0002256.lyr</v>
      </c>
    </row>
    <row r="2258" spans="1:12" ht="28.8" x14ac:dyDescent="0.55000000000000004">
      <c r="A2258" s="9" t="str">
        <f>HYPERLINK("PDF\FOIA-FWS-2020-00724-0002257.pdf","FOIA-FWS-2020-00724-0002257")</f>
        <v>FOIA-FWS-2020-00724-0002257</v>
      </c>
      <c r="B2258" s="3" t="s">
        <v>3977</v>
      </c>
      <c r="C2258" s="3" t="s">
        <v>234</v>
      </c>
      <c r="D2258" s="3" t="s">
        <v>160</v>
      </c>
      <c r="E2258" s="3" t="s">
        <v>3984</v>
      </c>
      <c r="F2258" s="4">
        <v>43728.793055555558</v>
      </c>
      <c r="G2258" s="3"/>
      <c r="H2258" s="3"/>
      <c r="I2258" s="3" t="s">
        <v>7043</v>
      </c>
      <c r="J2258" s="3"/>
      <c r="K2258" s="3"/>
      <c r="L2258" s="5" t="str">
        <f>HYPERLINK("NATIVE_FILES\FOIA-FWS-2020-00724-0002257.dbf","FOIA-FWS-2020-00724-0002257.dbf")</f>
        <v>FOIA-FWS-2020-00724-0002257.dbf</v>
      </c>
    </row>
    <row r="2259" spans="1:12" ht="28.8" x14ac:dyDescent="0.55000000000000004">
      <c r="A2259" s="9" t="str">
        <f>HYPERLINK("PDF\FOIA-FWS-2020-00724-0002258.pdf","FOIA-FWS-2020-00724-0002258")</f>
        <v>FOIA-FWS-2020-00724-0002258</v>
      </c>
      <c r="B2259" s="3" t="s">
        <v>3977</v>
      </c>
      <c r="C2259" s="3" t="s">
        <v>234</v>
      </c>
      <c r="D2259" s="3" t="s">
        <v>160</v>
      </c>
      <c r="E2259" s="3" t="s">
        <v>3985</v>
      </c>
      <c r="F2259" s="4">
        <v>43728.793055555558</v>
      </c>
      <c r="G2259" s="3"/>
      <c r="H2259" s="3"/>
      <c r="I2259" s="3" t="s">
        <v>7043</v>
      </c>
      <c r="J2259" s="3"/>
      <c r="K2259" s="3"/>
      <c r="L2259" s="5" t="str">
        <f>HYPERLINK("NATIVE_FILES\FOIA-FWS-2020-00724-0002258.prj","FOIA-FWS-2020-00724-0002258.prj")</f>
        <v>FOIA-FWS-2020-00724-0002258.prj</v>
      </c>
    </row>
    <row r="2260" spans="1:12" ht="28.8" x14ac:dyDescent="0.55000000000000004">
      <c r="A2260" s="9" t="str">
        <f>HYPERLINK("PDF\FOIA-FWS-2020-00724-0002259.pdf","FOIA-FWS-2020-00724-0002259")</f>
        <v>FOIA-FWS-2020-00724-0002259</v>
      </c>
      <c r="B2260" s="3" t="s">
        <v>3977</v>
      </c>
      <c r="C2260" s="3" t="s">
        <v>234</v>
      </c>
      <c r="D2260" s="3" t="s">
        <v>160</v>
      </c>
      <c r="E2260" s="3" t="s">
        <v>3986</v>
      </c>
      <c r="F2260" s="4">
        <v>43728.793055555558</v>
      </c>
      <c r="G2260" s="3"/>
      <c r="H2260" s="3"/>
      <c r="I2260" s="3" t="s">
        <v>7043</v>
      </c>
      <c r="J2260" s="3"/>
      <c r="K2260" s="3"/>
      <c r="L2260" s="5" t="str">
        <f>HYPERLINK("NATIVE_FILES\FOIA-FWS-2020-00724-0002259.sbn","FOIA-FWS-2020-00724-0002259.sbn")</f>
        <v>FOIA-FWS-2020-00724-0002259.sbn</v>
      </c>
    </row>
    <row r="2261" spans="1:12" ht="28.8" x14ac:dyDescent="0.55000000000000004">
      <c r="A2261" s="9" t="str">
        <f>HYPERLINK("PDF\FOIA-FWS-2020-00724-0002260.pdf","FOIA-FWS-2020-00724-0002260")</f>
        <v>FOIA-FWS-2020-00724-0002260</v>
      </c>
      <c r="B2261" s="3" t="s">
        <v>3977</v>
      </c>
      <c r="C2261" s="3" t="s">
        <v>234</v>
      </c>
      <c r="D2261" s="3" t="s">
        <v>160</v>
      </c>
      <c r="E2261" s="3" t="s">
        <v>3987</v>
      </c>
      <c r="F2261" s="4">
        <v>43728.793055555558</v>
      </c>
      <c r="G2261" s="3"/>
      <c r="H2261" s="3"/>
      <c r="I2261" s="3" t="s">
        <v>7043</v>
      </c>
      <c r="J2261" s="3"/>
      <c r="K2261" s="3"/>
      <c r="L2261" s="5" t="str">
        <f>HYPERLINK("NATIVE_FILES\FOIA-FWS-2020-00724-0002260.sbx","FOIA-FWS-2020-00724-0002260.sbx")</f>
        <v>FOIA-FWS-2020-00724-0002260.sbx</v>
      </c>
    </row>
    <row r="2262" spans="1:12" ht="28.8" x14ac:dyDescent="0.55000000000000004">
      <c r="A2262" s="9" t="str">
        <f>HYPERLINK("PDF\FOIA-FWS-2020-00724-0002261.pdf","FOIA-FWS-2020-00724-0002261")</f>
        <v>FOIA-FWS-2020-00724-0002261</v>
      </c>
      <c r="B2262" s="3" t="s">
        <v>3977</v>
      </c>
      <c r="C2262" s="3" t="s">
        <v>234</v>
      </c>
      <c r="D2262" s="3" t="s">
        <v>160</v>
      </c>
      <c r="E2262" s="3" t="s">
        <v>3988</v>
      </c>
      <c r="F2262" s="4">
        <v>43728.793055555558</v>
      </c>
      <c r="G2262" s="3"/>
      <c r="H2262" s="3"/>
      <c r="I2262" s="3" t="s">
        <v>7043</v>
      </c>
      <c r="J2262" s="3"/>
      <c r="K2262" s="3"/>
      <c r="L2262" s="5" t="str">
        <f>HYPERLINK("NATIVE_FILES\FOIA-FWS-2020-00724-0002261.shp","FOIA-FWS-2020-00724-0002261.shp")</f>
        <v>FOIA-FWS-2020-00724-0002261.shp</v>
      </c>
    </row>
    <row r="2263" spans="1:12" ht="28.8" x14ac:dyDescent="0.55000000000000004">
      <c r="A2263" s="9" t="str">
        <f>HYPERLINK("PDF\FOIA-FWS-2020-00724-0002262.pdf","FOIA-FWS-2020-00724-0002262")</f>
        <v>FOIA-FWS-2020-00724-0002262</v>
      </c>
      <c r="B2263" s="3" t="s">
        <v>3977</v>
      </c>
      <c r="C2263" s="3" t="s">
        <v>234</v>
      </c>
      <c r="D2263" s="3" t="s">
        <v>160</v>
      </c>
      <c r="E2263" s="3" t="s">
        <v>3989</v>
      </c>
      <c r="F2263" s="4">
        <v>43728.793055555558</v>
      </c>
      <c r="G2263" s="3"/>
      <c r="H2263" s="3"/>
      <c r="I2263" s="3" t="s">
        <v>7043</v>
      </c>
      <c r="J2263" s="3"/>
      <c r="K2263" s="3"/>
      <c r="L2263" s="5" t="str">
        <f>HYPERLINK("NATIVE_FILES\FOIA-FWS-2020-00724-0002262.xml","FOIA-FWS-2020-00724-0002262.xml")</f>
        <v>FOIA-FWS-2020-00724-0002262.xml</v>
      </c>
    </row>
    <row r="2264" spans="1:12" ht="28.8" x14ac:dyDescent="0.55000000000000004">
      <c r="A2264" s="9" t="str">
        <f>HYPERLINK("PDF\FOIA-FWS-2020-00724-0002263.pdf","FOIA-FWS-2020-00724-0002263")</f>
        <v>FOIA-FWS-2020-00724-0002263</v>
      </c>
      <c r="B2264" s="3" t="s">
        <v>3977</v>
      </c>
      <c r="C2264" s="3" t="s">
        <v>234</v>
      </c>
      <c r="D2264" s="3" t="s">
        <v>160</v>
      </c>
      <c r="E2264" s="3" t="s">
        <v>3990</v>
      </c>
      <c r="F2264" s="4">
        <v>43728.793055555558</v>
      </c>
      <c r="G2264" s="3"/>
      <c r="H2264" s="3"/>
      <c r="I2264" s="3" t="s">
        <v>7043</v>
      </c>
      <c r="J2264" s="3"/>
      <c r="K2264" s="3"/>
      <c r="L2264" s="5" t="str">
        <f>HYPERLINK("NATIVE_FILES\FOIA-FWS-2020-00724-0002263.shx","FOIA-FWS-2020-00724-0002263.shx")</f>
        <v>FOIA-FWS-2020-00724-0002263.shx</v>
      </c>
    </row>
    <row r="2265" spans="1:12" ht="28.8" x14ac:dyDescent="0.55000000000000004">
      <c r="A2265" s="9" t="str">
        <f>HYPERLINK("PDF\FOIA-FWS-2020-00724-0002264.pdf","FOIA-FWS-2020-00724-0002264")</f>
        <v>FOIA-FWS-2020-00724-0002264</v>
      </c>
      <c r="B2265" s="3" t="s">
        <v>3977</v>
      </c>
      <c r="C2265" s="3" t="s">
        <v>234</v>
      </c>
      <c r="D2265" s="3" t="s">
        <v>160</v>
      </c>
      <c r="E2265" s="3" t="s">
        <v>3991</v>
      </c>
      <c r="F2265" s="4">
        <v>43728.793055555558</v>
      </c>
      <c r="G2265" s="3"/>
      <c r="H2265" s="3"/>
      <c r="I2265" s="3" t="s">
        <v>7043</v>
      </c>
      <c r="J2265" s="3"/>
      <c r="K2265" s="3"/>
      <c r="L2265" s="5" t="str">
        <f>HYPERLINK("NATIVE_FILES\FOIA-FWS-2020-00724-0002264.dbf","FOIA-FWS-2020-00724-0002264.dbf")</f>
        <v>FOIA-FWS-2020-00724-0002264.dbf</v>
      </c>
    </row>
    <row r="2266" spans="1:12" ht="28.8" x14ac:dyDescent="0.55000000000000004">
      <c r="A2266" s="9" t="str">
        <f>HYPERLINK("PDF\FOIA-FWS-2020-00724-0002265.pdf","FOIA-FWS-2020-00724-0002265")</f>
        <v>FOIA-FWS-2020-00724-0002265</v>
      </c>
      <c r="B2266" s="3" t="s">
        <v>3977</v>
      </c>
      <c r="C2266" s="3" t="s">
        <v>234</v>
      </c>
      <c r="D2266" s="3" t="s">
        <v>160</v>
      </c>
      <c r="E2266" s="3" t="s">
        <v>3992</v>
      </c>
      <c r="F2266" s="4">
        <v>43728.793055555558</v>
      </c>
      <c r="G2266" s="3"/>
      <c r="H2266" s="3"/>
      <c r="I2266" s="3" t="s">
        <v>7043</v>
      </c>
      <c r="J2266" s="3"/>
      <c r="K2266" s="3"/>
      <c r="L2266" s="5" t="str">
        <f>HYPERLINK("NATIVE_FILES\FOIA-FWS-2020-00724-0002265.prj","FOIA-FWS-2020-00724-0002265.prj")</f>
        <v>FOIA-FWS-2020-00724-0002265.prj</v>
      </c>
    </row>
    <row r="2267" spans="1:12" ht="28.8" x14ac:dyDescent="0.55000000000000004">
      <c r="A2267" s="9" t="str">
        <f>HYPERLINK("PDF\FOIA-FWS-2020-00724-0002266.pdf","FOIA-FWS-2020-00724-0002266")</f>
        <v>FOIA-FWS-2020-00724-0002266</v>
      </c>
      <c r="B2267" s="3" t="s">
        <v>3977</v>
      </c>
      <c r="C2267" s="3" t="s">
        <v>234</v>
      </c>
      <c r="D2267" s="3" t="s">
        <v>160</v>
      </c>
      <c r="E2267" s="3" t="s">
        <v>3993</v>
      </c>
      <c r="F2267" s="4">
        <v>43728.793055555558</v>
      </c>
      <c r="G2267" s="3"/>
      <c r="H2267" s="3"/>
      <c r="I2267" s="3" t="s">
        <v>7043</v>
      </c>
      <c r="J2267" s="3"/>
      <c r="K2267" s="3"/>
      <c r="L2267" s="5" t="str">
        <f>HYPERLINK("NATIVE_FILES\FOIA-FWS-2020-00724-0002266.sbn","FOIA-FWS-2020-00724-0002266.sbn")</f>
        <v>FOIA-FWS-2020-00724-0002266.sbn</v>
      </c>
    </row>
    <row r="2268" spans="1:12" ht="28.8" x14ac:dyDescent="0.55000000000000004">
      <c r="A2268" s="9" t="str">
        <f>HYPERLINK("PDF\FOIA-FWS-2020-00724-0002267.pdf","FOIA-FWS-2020-00724-0002267")</f>
        <v>FOIA-FWS-2020-00724-0002267</v>
      </c>
      <c r="B2268" s="3" t="s">
        <v>3977</v>
      </c>
      <c r="C2268" s="3" t="s">
        <v>234</v>
      </c>
      <c r="D2268" s="3" t="s">
        <v>160</v>
      </c>
      <c r="E2268" s="3" t="s">
        <v>3994</v>
      </c>
      <c r="F2268" s="4">
        <v>43728.793055555558</v>
      </c>
      <c r="G2268" s="3"/>
      <c r="H2268" s="3"/>
      <c r="I2268" s="3" t="s">
        <v>7043</v>
      </c>
      <c r="J2268" s="3"/>
      <c r="K2268" s="3"/>
      <c r="L2268" s="5" t="str">
        <f>HYPERLINK("NATIVE_FILES\FOIA-FWS-2020-00724-0002267.sbx","FOIA-FWS-2020-00724-0002267.sbx")</f>
        <v>FOIA-FWS-2020-00724-0002267.sbx</v>
      </c>
    </row>
    <row r="2269" spans="1:12" ht="28.8" x14ac:dyDescent="0.55000000000000004">
      <c r="A2269" s="9" t="str">
        <f>HYPERLINK("PDF\FOIA-FWS-2020-00724-0002268.pdf","FOIA-FWS-2020-00724-0002268")</f>
        <v>FOIA-FWS-2020-00724-0002268</v>
      </c>
      <c r="B2269" s="3" t="s">
        <v>3977</v>
      </c>
      <c r="C2269" s="3" t="s">
        <v>234</v>
      </c>
      <c r="D2269" s="3" t="s">
        <v>160</v>
      </c>
      <c r="E2269" s="3" t="s">
        <v>3995</v>
      </c>
      <c r="F2269" s="4">
        <v>43728.793055555558</v>
      </c>
      <c r="G2269" s="3"/>
      <c r="H2269" s="3"/>
      <c r="I2269" s="3" t="s">
        <v>7043</v>
      </c>
      <c r="J2269" s="3"/>
      <c r="K2269" s="3"/>
      <c r="L2269" s="5" t="str">
        <f>HYPERLINK("NATIVE_FILES\FOIA-FWS-2020-00724-0002268.shp","FOIA-FWS-2020-00724-0002268.shp")</f>
        <v>FOIA-FWS-2020-00724-0002268.shp</v>
      </c>
    </row>
    <row r="2270" spans="1:12" ht="28.8" x14ac:dyDescent="0.55000000000000004">
      <c r="A2270" s="9" t="str">
        <f>HYPERLINK("PDF\FOIA-FWS-2020-00724-0002269.pdf","FOIA-FWS-2020-00724-0002269")</f>
        <v>FOIA-FWS-2020-00724-0002269</v>
      </c>
      <c r="B2270" s="3" t="s">
        <v>3977</v>
      </c>
      <c r="C2270" s="3" t="s">
        <v>234</v>
      </c>
      <c r="D2270" s="3" t="s">
        <v>160</v>
      </c>
      <c r="E2270" s="3" t="s">
        <v>3996</v>
      </c>
      <c r="F2270" s="4">
        <v>43728.793055555558</v>
      </c>
      <c r="G2270" s="3"/>
      <c r="H2270" s="3"/>
      <c r="I2270" s="3" t="s">
        <v>7043</v>
      </c>
      <c r="J2270" s="3"/>
      <c r="K2270" s="3"/>
      <c r="L2270" s="5" t="str">
        <f>HYPERLINK("NATIVE_FILES\FOIA-FWS-2020-00724-0002269.xml","FOIA-FWS-2020-00724-0002269.xml")</f>
        <v>FOIA-FWS-2020-00724-0002269.xml</v>
      </c>
    </row>
    <row r="2271" spans="1:12" ht="28.8" x14ac:dyDescent="0.55000000000000004">
      <c r="A2271" s="9" t="str">
        <f>HYPERLINK("PDF\FOIA-FWS-2020-00724-0002270.pdf","FOIA-FWS-2020-00724-0002270")</f>
        <v>FOIA-FWS-2020-00724-0002270</v>
      </c>
      <c r="B2271" s="3" t="s">
        <v>3977</v>
      </c>
      <c r="C2271" s="3" t="s">
        <v>234</v>
      </c>
      <c r="D2271" s="3" t="s">
        <v>160</v>
      </c>
      <c r="E2271" s="3" t="s">
        <v>3997</v>
      </c>
      <c r="F2271" s="4">
        <v>43728.793055555558</v>
      </c>
      <c r="G2271" s="3"/>
      <c r="H2271" s="3"/>
      <c r="I2271" s="3" t="s">
        <v>7043</v>
      </c>
      <c r="J2271" s="3"/>
      <c r="K2271" s="3"/>
      <c r="L2271" s="5" t="str">
        <f>HYPERLINK("NATIVE_FILES\FOIA-FWS-2020-00724-0002270.shx","FOIA-FWS-2020-00724-0002270.shx")</f>
        <v>FOIA-FWS-2020-00724-0002270.shx</v>
      </c>
    </row>
    <row r="2272" spans="1:12" ht="28.8" x14ac:dyDescent="0.55000000000000004">
      <c r="A2272" s="9" t="str">
        <f>HYPERLINK("PDF\FOIA-FWS-2020-00724-0002271.pdf","FOIA-FWS-2020-00724-0002271")</f>
        <v>FOIA-FWS-2020-00724-0002271</v>
      </c>
      <c r="B2272" s="3" t="s">
        <v>3977</v>
      </c>
      <c r="C2272" s="3" t="s">
        <v>234</v>
      </c>
      <c r="D2272" s="3" t="s">
        <v>160</v>
      </c>
      <c r="E2272" s="3" t="s">
        <v>3998</v>
      </c>
      <c r="F2272" s="4">
        <v>43728.793055555558</v>
      </c>
      <c r="G2272" s="3"/>
      <c r="H2272" s="3"/>
      <c r="I2272" s="3" t="s">
        <v>7043</v>
      </c>
      <c r="J2272" s="3"/>
      <c r="K2272" s="3"/>
      <c r="L2272" s="5" t="str">
        <f>HYPERLINK("NATIVE_FILES\FOIA-FWS-2020-00724-0002271.dbf","FOIA-FWS-2020-00724-0002271.dbf")</f>
        <v>FOIA-FWS-2020-00724-0002271.dbf</v>
      </c>
    </row>
    <row r="2273" spans="1:12" ht="28.8" x14ac:dyDescent="0.55000000000000004">
      <c r="A2273" s="9" t="str">
        <f>HYPERLINK("PDF\FOIA-FWS-2020-00724-0002272.pdf","FOIA-FWS-2020-00724-0002272")</f>
        <v>FOIA-FWS-2020-00724-0002272</v>
      </c>
      <c r="B2273" s="3" t="s">
        <v>3977</v>
      </c>
      <c r="C2273" s="3" t="s">
        <v>234</v>
      </c>
      <c r="D2273" s="3" t="s">
        <v>160</v>
      </c>
      <c r="E2273" s="3" t="s">
        <v>3999</v>
      </c>
      <c r="F2273" s="4">
        <v>43728.793055555558</v>
      </c>
      <c r="G2273" s="3"/>
      <c r="H2273" s="3"/>
      <c r="I2273" s="3" t="s">
        <v>7043</v>
      </c>
      <c r="J2273" s="3"/>
      <c r="K2273" s="3"/>
      <c r="L2273" s="5" t="str">
        <f>HYPERLINK("NATIVE_FILES\FOIA-FWS-2020-00724-0002272.prj","FOIA-FWS-2020-00724-0002272.prj")</f>
        <v>FOIA-FWS-2020-00724-0002272.prj</v>
      </c>
    </row>
    <row r="2274" spans="1:12" ht="28.8" x14ac:dyDescent="0.55000000000000004">
      <c r="A2274" s="9" t="str">
        <f>HYPERLINK("PDF\FOIA-FWS-2020-00724-0002273.pdf","FOIA-FWS-2020-00724-0002273")</f>
        <v>FOIA-FWS-2020-00724-0002273</v>
      </c>
      <c r="B2274" s="3" t="s">
        <v>3977</v>
      </c>
      <c r="C2274" s="3" t="s">
        <v>234</v>
      </c>
      <c r="D2274" s="3" t="s">
        <v>160</v>
      </c>
      <c r="E2274" s="3" t="s">
        <v>4000</v>
      </c>
      <c r="F2274" s="4">
        <v>43728.793055555558</v>
      </c>
      <c r="G2274" s="3"/>
      <c r="H2274" s="3"/>
      <c r="I2274" s="3" t="s">
        <v>7043</v>
      </c>
      <c r="J2274" s="3"/>
      <c r="K2274" s="3"/>
      <c r="L2274" s="5" t="str">
        <f>HYPERLINK("NATIVE_FILES\FOIA-FWS-2020-00724-0002273.sbn","FOIA-FWS-2020-00724-0002273.sbn")</f>
        <v>FOIA-FWS-2020-00724-0002273.sbn</v>
      </c>
    </row>
    <row r="2275" spans="1:12" ht="28.8" x14ac:dyDescent="0.55000000000000004">
      <c r="A2275" s="9" t="str">
        <f>HYPERLINK("PDF\FOIA-FWS-2020-00724-0002274.pdf","FOIA-FWS-2020-00724-0002274")</f>
        <v>FOIA-FWS-2020-00724-0002274</v>
      </c>
      <c r="B2275" s="3" t="s">
        <v>3977</v>
      </c>
      <c r="C2275" s="3" t="s">
        <v>234</v>
      </c>
      <c r="D2275" s="3" t="s">
        <v>160</v>
      </c>
      <c r="E2275" s="3" t="s">
        <v>4001</v>
      </c>
      <c r="F2275" s="4">
        <v>43728.793055555558</v>
      </c>
      <c r="G2275" s="3"/>
      <c r="H2275" s="3"/>
      <c r="I2275" s="3" t="s">
        <v>7043</v>
      </c>
      <c r="J2275" s="3"/>
      <c r="K2275" s="3"/>
      <c r="L2275" s="5" t="str">
        <f>HYPERLINK("NATIVE_FILES\FOIA-FWS-2020-00724-0002274.sbx","FOIA-FWS-2020-00724-0002274.sbx")</f>
        <v>FOIA-FWS-2020-00724-0002274.sbx</v>
      </c>
    </row>
    <row r="2276" spans="1:12" ht="28.8" x14ac:dyDescent="0.55000000000000004">
      <c r="A2276" s="9" t="str">
        <f>HYPERLINK("PDF\FOIA-FWS-2020-00724-0002275.pdf","FOIA-FWS-2020-00724-0002275")</f>
        <v>FOIA-FWS-2020-00724-0002275</v>
      </c>
      <c r="B2276" s="3" t="s">
        <v>3977</v>
      </c>
      <c r="C2276" s="3" t="s">
        <v>234</v>
      </c>
      <c r="D2276" s="3" t="s">
        <v>160</v>
      </c>
      <c r="E2276" s="3" t="s">
        <v>4002</v>
      </c>
      <c r="F2276" s="4">
        <v>43728.793055555558</v>
      </c>
      <c r="G2276" s="3"/>
      <c r="H2276" s="3"/>
      <c r="I2276" s="3" t="s">
        <v>7043</v>
      </c>
      <c r="J2276" s="3"/>
      <c r="K2276" s="3"/>
      <c r="L2276" s="5" t="str">
        <f>HYPERLINK("NATIVE_FILES\FOIA-FWS-2020-00724-0002275.shp","FOIA-FWS-2020-00724-0002275.shp")</f>
        <v>FOIA-FWS-2020-00724-0002275.shp</v>
      </c>
    </row>
    <row r="2277" spans="1:12" ht="28.8" x14ac:dyDescent="0.55000000000000004">
      <c r="A2277" s="9" t="str">
        <f>HYPERLINK("PDF\FOIA-FWS-2020-00724-0002276.pdf","FOIA-FWS-2020-00724-0002276")</f>
        <v>FOIA-FWS-2020-00724-0002276</v>
      </c>
      <c r="B2277" s="3" t="s">
        <v>3977</v>
      </c>
      <c r="C2277" s="3" t="s">
        <v>234</v>
      </c>
      <c r="D2277" s="3" t="s">
        <v>160</v>
      </c>
      <c r="E2277" s="3" t="s">
        <v>4003</v>
      </c>
      <c r="F2277" s="4">
        <v>43728.793055555558</v>
      </c>
      <c r="G2277" s="3"/>
      <c r="H2277" s="3"/>
      <c r="I2277" s="3" t="s">
        <v>7043</v>
      </c>
      <c r="J2277" s="3"/>
      <c r="K2277" s="3"/>
      <c r="L2277" s="5" t="str">
        <f>HYPERLINK("NATIVE_FILES\FOIA-FWS-2020-00724-0002276.xml","FOIA-FWS-2020-00724-0002276.xml")</f>
        <v>FOIA-FWS-2020-00724-0002276.xml</v>
      </c>
    </row>
    <row r="2278" spans="1:12" ht="28.8" x14ac:dyDescent="0.55000000000000004">
      <c r="A2278" s="9" t="str">
        <f>HYPERLINK("PDF\FOIA-FWS-2020-00724-0002277.pdf","FOIA-FWS-2020-00724-0002277")</f>
        <v>FOIA-FWS-2020-00724-0002277</v>
      </c>
      <c r="B2278" s="3" t="s">
        <v>3977</v>
      </c>
      <c r="C2278" s="3" t="s">
        <v>234</v>
      </c>
      <c r="D2278" s="3" t="s">
        <v>160</v>
      </c>
      <c r="E2278" s="3" t="s">
        <v>4004</v>
      </c>
      <c r="F2278" s="4">
        <v>43728.793055555558</v>
      </c>
      <c r="G2278" s="3"/>
      <c r="H2278" s="3"/>
      <c r="I2278" s="3" t="s">
        <v>7043</v>
      </c>
      <c r="J2278" s="3"/>
      <c r="K2278" s="3"/>
      <c r="L2278" s="5" t="str">
        <f>HYPERLINK("NATIVE_FILES\FOIA-FWS-2020-00724-0002277.shx","FOIA-FWS-2020-00724-0002277.shx")</f>
        <v>FOIA-FWS-2020-00724-0002277.shx</v>
      </c>
    </row>
    <row r="2279" spans="1:12" ht="28.8" x14ac:dyDescent="0.55000000000000004">
      <c r="A2279" s="9" t="str">
        <f>HYPERLINK("PDF\FOIA-FWS-2020-00724-0002278.pdf","FOIA-FWS-2020-00724-0002278")</f>
        <v>FOIA-FWS-2020-00724-0002278</v>
      </c>
      <c r="B2279" s="3" t="s">
        <v>3977</v>
      </c>
      <c r="C2279" s="3" t="s">
        <v>234</v>
      </c>
      <c r="D2279" s="3" t="s">
        <v>160</v>
      </c>
      <c r="E2279" s="3" t="s">
        <v>4005</v>
      </c>
      <c r="F2279" s="4">
        <v>43728.793055555558</v>
      </c>
      <c r="G2279" s="3"/>
      <c r="H2279" s="3"/>
      <c r="I2279" s="3" t="s">
        <v>7043</v>
      </c>
      <c r="J2279" s="3"/>
      <c r="K2279" s="3"/>
      <c r="L2279" s="5" t="str">
        <f>HYPERLINK("NATIVE_FILES\FOIA-FWS-2020-00724-0002278.pkinfo","FOIA-FWS-2020-00724-0002278.pkinfo")</f>
        <v>FOIA-FWS-2020-00724-0002278.pkinfo</v>
      </c>
    </row>
    <row r="2280" spans="1:12" ht="28.8" x14ac:dyDescent="0.55000000000000004">
      <c r="A2280" s="9" t="str">
        <f>HYPERLINK("PDF\FOIA-FWS-2020-00724-0002279.pdf","FOIA-FWS-2020-00724-0002279")</f>
        <v>FOIA-FWS-2020-00724-0002279</v>
      </c>
      <c r="B2280" s="3" t="s">
        <v>3977</v>
      </c>
      <c r="C2280" s="3" t="s">
        <v>234</v>
      </c>
      <c r="D2280" s="3" t="s">
        <v>160</v>
      </c>
      <c r="E2280" s="3" t="s">
        <v>4006</v>
      </c>
      <c r="F2280" s="4">
        <v>43728.793055555558</v>
      </c>
      <c r="G2280" s="3"/>
      <c r="H2280" s="3"/>
      <c r="I2280" s="3" t="s">
        <v>7043</v>
      </c>
      <c r="J2280" s="3"/>
      <c r="K2280" s="3"/>
      <c r="L2280" s="5" t="str">
        <f>HYPERLINK("NATIVE_FILES\FOIA-FWS-2020-00724-0002279.xml","FOIA-FWS-2020-00724-0002279.xml")</f>
        <v>FOIA-FWS-2020-00724-0002279.xml</v>
      </c>
    </row>
    <row r="2281" spans="1:12" ht="28.8" x14ac:dyDescent="0.55000000000000004">
      <c r="A2281" s="9" t="str">
        <f>HYPERLINK("PDF\FOIA-FWS-2020-00724-0002280.pdf","FOIA-FWS-2020-00724-0002280")</f>
        <v>FOIA-FWS-2020-00724-0002280</v>
      </c>
      <c r="B2281" s="3" t="s">
        <v>3977</v>
      </c>
      <c r="C2281" s="3" t="s">
        <v>234</v>
      </c>
      <c r="D2281" s="3" t="s">
        <v>160</v>
      </c>
      <c r="E2281" s="3" t="s">
        <v>4007</v>
      </c>
      <c r="F2281" s="4">
        <v>43728.793055555558</v>
      </c>
      <c r="G2281" s="3"/>
      <c r="H2281" s="3"/>
      <c r="I2281" s="3" t="s">
        <v>7043</v>
      </c>
      <c r="J2281" s="3"/>
      <c r="K2281" s="3"/>
      <c r="L2281" s="5"/>
    </row>
    <row r="2282" spans="1:12" ht="28.8" x14ac:dyDescent="0.55000000000000004">
      <c r="A2282" s="9" t="str">
        <f>HYPERLINK("PDF\FOIA-FWS-2020-00724-0002281.pdf","FOIA-FWS-2020-00724-0002281")</f>
        <v>FOIA-FWS-2020-00724-0002281</v>
      </c>
      <c r="B2282" s="3" t="s">
        <v>3977</v>
      </c>
      <c r="C2282" s="3" t="s">
        <v>234</v>
      </c>
      <c r="D2282" s="3" t="s">
        <v>160</v>
      </c>
      <c r="E2282" s="3" t="s">
        <v>3983</v>
      </c>
      <c r="F2282" s="4">
        <v>43728.793055555558</v>
      </c>
      <c r="G2282" s="3"/>
      <c r="H2282" s="3"/>
      <c r="I2282" s="3" t="s">
        <v>7043</v>
      </c>
      <c r="J2282" s="3"/>
      <c r="K2282" s="3"/>
      <c r="L2282" s="5" t="str">
        <f>HYPERLINK("NATIVE_FILES\FOIA-FWS-2020-00724-0002281.lyr","FOIA-FWS-2020-00724-0002281.lyr")</f>
        <v>FOIA-FWS-2020-00724-0002281.lyr</v>
      </c>
    </row>
    <row r="2283" spans="1:12" ht="28.8" x14ac:dyDescent="0.55000000000000004">
      <c r="A2283" s="9" t="str">
        <f>HYPERLINK("PDF\FOIA-FWS-2020-00724-0002282.pdf","FOIA-FWS-2020-00724-0002282")</f>
        <v>FOIA-FWS-2020-00724-0002282</v>
      </c>
      <c r="B2283" s="3" t="s">
        <v>4008</v>
      </c>
      <c r="C2283" s="3" t="s">
        <v>3</v>
      </c>
      <c r="D2283" s="3" t="s">
        <v>38</v>
      </c>
      <c r="E2283" s="3" t="s">
        <v>4009</v>
      </c>
      <c r="F2283" s="4">
        <v>43731</v>
      </c>
      <c r="G2283" s="3"/>
      <c r="H2283" s="3"/>
      <c r="I2283" s="3" t="s">
        <v>7043</v>
      </c>
      <c r="J2283" s="3"/>
      <c r="K2283" s="3"/>
      <c r="L2283" s="5"/>
    </row>
    <row r="2284" spans="1:12" ht="28.8" x14ac:dyDescent="0.55000000000000004">
      <c r="A2284" s="9" t="str">
        <f>HYPERLINK("PDF\FOIA-FWS-2020-00724-0002283.pdf","FOIA-FWS-2020-00724-0002283")</f>
        <v>FOIA-FWS-2020-00724-0002283</v>
      </c>
      <c r="B2284" s="3" t="s">
        <v>4010</v>
      </c>
      <c r="C2284" s="3" t="s">
        <v>3</v>
      </c>
      <c r="D2284" s="3" t="s">
        <v>33</v>
      </c>
      <c r="E2284" s="3" t="s">
        <v>4011</v>
      </c>
      <c r="F2284" s="4">
        <v>43731</v>
      </c>
      <c r="G2284" s="3"/>
      <c r="H2284" s="3"/>
      <c r="I2284" s="3" t="s">
        <v>7043</v>
      </c>
      <c r="J2284" s="3"/>
      <c r="K2284" s="3"/>
      <c r="L2284" s="5"/>
    </row>
    <row r="2285" spans="1:12" ht="28.8" x14ac:dyDescent="0.55000000000000004">
      <c r="A2285" s="9" t="str">
        <f>HYPERLINK("PDF\FOIA-FWS-2020-00724-0002284.pdf","FOIA-FWS-2020-00724-0002284")</f>
        <v>FOIA-FWS-2020-00724-0002284</v>
      </c>
      <c r="B2285" s="3" t="s">
        <v>4012</v>
      </c>
      <c r="C2285" s="3" t="s">
        <v>3</v>
      </c>
      <c r="D2285" s="3" t="s">
        <v>33</v>
      </c>
      <c r="E2285" s="3" t="s">
        <v>4013</v>
      </c>
      <c r="F2285" s="4">
        <v>43731.620833333334</v>
      </c>
      <c r="G2285" s="3" t="s">
        <v>945</v>
      </c>
      <c r="H2285" s="3" t="s">
        <v>963</v>
      </c>
      <c r="I2285" s="3" t="s">
        <v>7043</v>
      </c>
      <c r="J2285" s="3"/>
      <c r="K2285" s="3"/>
      <c r="L2285" s="5"/>
    </row>
    <row r="2286" spans="1:12" ht="28.8" x14ac:dyDescent="0.55000000000000004">
      <c r="A2286" s="9" t="str">
        <f>HYPERLINK("PDF\FOIA-FWS-2020-00724-0002285.pdf","FOIA-FWS-2020-00724-0002285")</f>
        <v>FOIA-FWS-2020-00724-0002285</v>
      </c>
      <c r="B2286" s="3" t="s">
        <v>4012</v>
      </c>
      <c r="C2286" s="3" t="s">
        <v>234</v>
      </c>
      <c r="D2286" s="3" t="s">
        <v>33</v>
      </c>
      <c r="E2286" s="3" t="s">
        <v>4014</v>
      </c>
      <c r="F2286" s="4">
        <v>43731.620833333334</v>
      </c>
      <c r="G2286" s="3"/>
      <c r="H2286" s="3"/>
      <c r="I2286" s="3" t="s">
        <v>7043</v>
      </c>
      <c r="J2286" s="3"/>
      <c r="K2286" s="3"/>
      <c r="L2286" s="5"/>
    </row>
    <row r="2287" spans="1:12" ht="28.8" x14ac:dyDescent="0.55000000000000004">
      <c r="A2287" s="9" t="str">
        <f>HYPERLINK("PDF\FOIA-FWS-2020-00724-0002286.pdf","FOIA-FWS-2020-00724-0002286")</f>
        <v>FOIA-FWS-2020-00724-0002286</v>
      </c>
      <c r="B2287" s="3" t="s">
        <v>4015</v>
      </c>
      <c r="C2287" s="3" t="s">
        <v>3</v>
      </c>
      <c r="D2287" s="3" t="s">
        <v>33</v>
      </c>
      <c r="E2287" s="3" t="s">
        <v>4017</v>
      </c>
      <c r="F2287" s="4">
        <v>43731.759027777778</v>
      </c>
      <c r="G2287" s="3" t="s">
        <v>1516</v>
      </c>
      <c r="H2287" s="3" t="s">
        <v>4016</v>
      </c>
      <c r="I2287" s="3" t="s">
        <v>7043</v>
      </c>
      <c r="J2287" s="3"/>
      <c r="K2287" s="3"/>
      <c r="L2287" s="5"/>
    </row>
    <row r="2288" spans="1:12" ht="28.8" x14ac:dyDescent="0.55000000000000004">
      <c r="A2288" s="9" t="str">
        <f>HYPERLINK("PDF\FOIA-FWS-2020-00724-0002287.pdf","FOIA-FWS-2020-00724-0002287")</f>
        <v>FOIA-FWS-2020-00724-0002287</v>
      </c>
      <c r="B2288" s="3" t="s">
        <v>4015</v>
      </c>
      <c r="C2288" s="3" t="s">
        <v>234</v>
      </c>
      <c r="D2288" s="3" t="s">
        <v>33</v>
      </c>
      <c r="E2288" s="3" t="s">
        <v>4018</v>
      </c>
      <c r="F2288" s="4">
        <v>43731.759027777778</v>
      </c>
      <c r="G2288" s="3"/>
      <c r="H2288" s="3"/>
      <c r="I2288" s="3" t="s">
        <v>7043</v>
      </c>
      <c r="J2288" s="3"/>
      <c r="K2288" s="3"/>
      <c r="L2288" s="5"/>
    </row>
    <row r="2289" spans="1:12" ht="28.8" x14ac:dyDescent="0.55000000000000004">
      <c r="A2289" s="9" t="str">
        <f>HYPERLINK("PDF\FOIA-FWS-2020-00724-0002288.pdf","FOIA-FWS-2020-00724-0002288")</f>
        <v>FOIA-FWS-2020-00724-0002288</v>
      </c>
      <c r="B2289" s="3" t="s">
        <v>4019</v>
      </c>
      <c r="C2289" s="3" t="s">
        <v>3</v>
      </c>
      <c r="D2289" s="3" t="s">
        <v>33</v>
      </c>
      <c r="E2289" s="3" t="s">
        <v>4021</v>
      </c>
      <c r="F2289" s="4">
        <v>43731.802083333336</v>
      </c>
      <c r="G2289" s="3" t="s">
        <v>1119</v>
      </c>
      <c r="H2289" s="3" t="s">
        <v>4020</v>
      </c>
      <c r="I2289" s="3" t="s">
        <v>7043</v>
      </c>
      <c r="J2289" s="3"/>
      <c r="K2289" s="3"/>
      <c r="L2289" s="5"/>
    </row>
    <row r="2290" spans="1:12" ht="28.8" x14ac:dyDescent="0.55000000000000004">
      <c r="A2290" s="9" t="str">
        <f>HYPERLINK("PDF\FOIA-FWS-2020-00724-0002289.pdf","FOIA-FWS-2020-00724-0002289")</f>
        <v>FOIA-FWS-2020-00724-0002289</v>
      </c>
      <c r="B2290" s="3" t="s">
        <v>4022</v>
      </c>
      <c r="C2290" s="3" t="s">
        <v>3</v>
      </c>
      <c r="D2290" s="3" t="s">
        <v>33</v>
      </c>
      <c r="E2290" s="3" t="s">
        <v>4023</v>
      </c>
      <c r="F2290" s="4">
        <v>43731.805555555555</v>
      </c>
      <c r="G2290" s="3" t="s">
        <v>963</v>
      </c>
      <c r="H2290" s="3" t="s">
        <v>945</v>
      </c>
      <c r="I2290" s="3" t="s">
        <v>7043</v>
      </c>
      <c r="J2290" s="3"/>
      <c r="K2290" s="3"/>
      <c r="L2290" s="5"/>
    </row>
    <row r="2291" spans="1:12" ht="28.8" x14ac:dyDescent="0.55000000000000004">
      <c r="A2291" s="9" t="str">
        <f>HYPERLINK("PDF\FOIA-FWS-2020-00724-0002290.pdf","FOIA-FWS-2020-00724-0002290")</f>
        <v>FOIA-FWS-2020-00724-0002290</v>
      </c>
      <c r="B2291" s="3" t="s">
        <v>4022</v>
      </c>
      <c r="C2291" s="3" t="s">
        <v>234</v>
      </c>
      <c r="D2291" s="3" t="s">
        <v>33</v>
      </c>
      <c r="E2291" s="3" t="s">
        <v>4024</v>
      </c>
      <c r="F2291" s="4">
        <v>43731.805555555555</v>
      </c>
      <c r="G2291" s="3"/>
      <c r="H2291" s="3"/>
      <c r="I2291" s="3" t="s">
        <v>7043</v>
      </c>
      <c r="J2291" s="3"/>
      <c r="K2291" s="3"/>
      <c r="L2291" s="5"/>
    </row>
    <row r="2292" spans="1:12" ht="28.8" x14ac:dyDescent="0.55000000000000004">
      <c r="A2292" s="9" t="str">
        <f>HYPERLINK("PDF\FOIA-FWS-2020-00724-0002291.pdf","FOIA-FWS-2020-00724-0002291")</f>
        <v>FOIA-FWS-2020-00724-0002291</v>
      </c>
      <c r="B2292" s="3" t="s">
        <v>4022</v>
      </c>
      <c r="C2292" s="3" t="s">
        <v>234</v>
      </c>
      <c r="D2292" s="3" t="s">
        <v>33</v>
      </c>
      <c r="E2292" s="3" t="s">
        <v>4025</v>
      </c>
      <c r="F2292" s="4">
        <v>43731.805555555555</v>
      </c>
      <c r="G2292" s="3"/>
      <c r="H2292" s="3"/>
      <c r="I2292" s="3" t="s">
        <v>7043</v>
      </c>
      <c r="J2292" s="3"/>
      <c r="K2292" s="3"/>
      <c r="L2292" s="5"/>
    </row>
    <row r="2293" spans="1:12" ht="28.8" x14ac:dyDescent="0.55000000000000004">
      <c r="A2293" s="9" t="str">
        <f>HYPERLINK("PDF\FOIA-FWS-2020-00724-0002292.pdf","FOIA-FWS-2020-00724-0002292")</f>
        <v>FOIA-FWS-2020-00724-0002292</v>
      </c>
      <c r="B2293" s="3" t="s">
        <v>4022</v>
      </c>
      <c r="C2293" s="3" t="s">
        <v>234</v>
      </c>
      <c r="D2293" s="3" t="s">
        <v>33</v>
      </c>
      <c r="E2293" s="3" t="s">
        <v>4026</v>
      </c>
      <c r="F2293" s="4">
        <v>43731.805555555555</v>
      </c>
      <c r="G2293" s="3"/>
      <c r="H2293" s="3"/>
      <c r="I2293" s="3" t="s">
        <v>7043</v>
      </c>
      <c r="J2293" s="3"/>
      <c r="K2293" s="3"/>
      <c r="L2293" s="5"/>
    </row>
    <row r="2294" spans="1:12" ht="28.8" x14ac:dyDescent="0.55000000000000004">
      <c r="A2294" s="9" t="str">
        <f>HYPERLINK("PDF\FOIA-FWS-2020-00724-0002293.pdf","FOIA-FWS-2020-00724-0002293")</f>
        <v>FOIA-FWS-2020-00724-0002293</v>
      </c>
      <c r="B2294" s="3" t="s">
        <v>4022</v>
      </c>
      <c r="C2294" s="3" t="s">
        <v>234</v>
      </c>
      <c r="D2294" s="3" t="s">
        <v>33</v>
      </c>
      <c r="E2294" s="3" t="s">
        <v>4027</v>
      </c>
      <c r="F2294" s="4">
        <v>43731.805555555555</v>
      </c>
      <c r="G2294" s="3"/>
      <c r="H2294" s="3"/>
      <c r="I2294" s="3" t="s">
        <v>7043</v>
      </c>
      <c r="J2294" s="3"/>
      <c r="K2294" s="3"/>
      <c r="L2294" s="5"/>
    </row>
    <row r="2295" spans="1:12" ht="28.8" x14ac:dyDescent="0.55000000000000004">
      <c r="A2295" s="9" t="str">
        <f>HYPERLINK("PDF\FOIA-FWS-2020-00724-0002294.pdf","FOIA-FWS-2020-00724-0002294")</f>
        <v>FOIA-FWS-2020-00724-0002294</v>
      </c>
      <c r="B2295" s="3" t="s">
        <v>4022</v>
      </c>
      <c r="C2295" s="3" t="s">
        <v>234</v>
      </c>
      <c r="D2295" s="3" t="s">
        <v>33</v>
      </c>
      <c r="E2295" s="3" t="s">
        <v>4028</v>
      </c>
      <c r="F2295" s="4">
        <v>43731.805555555555</v>
      </c>
      <c r="G2295" s="3"/>
      <c r="H2295" s="3"/>
      <c r="I2295" s="3" t="s">
        <v>7043</v>
      </c>
      <c r="J2295" s="3"/>
      <c r="K2295" s="3"/>
      <c r="L2295" s="5"/>
    </row>
    <row r="2296" spans="1:12" ht="28.8" x14ac:dyDescent="0.55000000000000004">
      <c r="A2296" s="9" t="str">
        <f>HYPERLINK("PDF\FOIA-FWS-2020-00724-0002295.pdf","FOIA-FWS-2020-00724-0002295")</f>
        <v>FOIA-FWS-2020-00724-0002295</v>
      </c>
      <c r="B2296" s="3" t="s">
        <v>4022</v>
      </c>
      <c r="C2296" s="3" t="s">
        <v>234</v>
      </c>
      <c r="D2296" s="3" t="s">
        <v>33</v>
      </c>
      <c r="E2296" s="3" t="s">
        <v>4029</v>
      </c>
      <c r="F2296" s="4">
        <v>43731.805555555555</v>
      </c>
      <c r="G2296" s="3"/>
      <c r="H2296" s="3"/>
      <c r="I2296" s="3" t="s">
        <v>7043</v>
      </c>
      <c r="J2296" s="3"/>
      <c r="K2296" s="3"/>
      <c r="L2296" s="5"/>
    </row>
    <row r="2297" spans="1:12" ht="43.2" x14ac:dyDescent="0.55000000000000004">
      <c r="A2297" s="9" t="str">
        <f>HYPERLINK("PDF\FOIA-FWS-2020-00724-0002296.pdf","FOIA-FWS-2020-00724-0002296")</f>
        <v>FOIA-FWS-2020-00724-0002296</v>
      </c>
      <c r="B2297" s="3" t="s">
        <v>4022</v>
      </c>
      <c r="C2297" s="3" t="s">
        <v>234</v>
      </c>
      <c r="D2297" s="3" t="s">
        <v>33</v>
      </c>
      <c r="E2297" s="3" t="s">
        <v>3911</v>
      </c>
      <c r="F2297" s="4">
        <v>43731.805555555555</v>
      </c>
      <c r="G2297" s="3"/>
      <c r="H2297" s="3"/>
      <c r="I2297" s="3" t="s">
        <v>7043</v>
      </c>
      <c r="J2297" s="3"/>
      <c r="K2297" s="3"/>
      <c r="L2297" s="5"/>
    </row>
    <row r="2298" spans="1:12" ht="28.8" x14ac:dyDescent="0.55000000000000004">
      <c r="A2298" s="9" t="str">
        <f>HYPERLINK("PDF\FOIA-FWS-2020-00724-0002297.pdf","FOIA-FWS-2020-00724-0002297")</f>
        <v>FOIA-FWS-2020-00724-0002297</v>
      </c>
      <c r="B2298" s="3" t="s">
        <v>4030</v>
      </c>
      <c r="C2298" s="3" t="s">
        <v>3</v>
      </c>
      <c r="D2298" s="3" t="s">
        <v>33</v>
      </c>
      <c r="E2298" s="3" t="s">
        <v>4031</v>
      </c>
      <c r="F2298" s="4">
        <v>43732.439583333333</v>
      </c>
      <c r="G2298" s="3" t="s">
        <v>945</v>
      </c>
      <c r="H2298" s="3" t="s">
        <v>3560</v>
      </c>
      <c r="I2298" s="3" t="s">
        <v>7043</v>
      </c>
      <c r="J2298" s="3"/>
      <c r="K2298" s="3"/>
      <c r="L2298" s="5"/>
    </row>
    <row r="2299" spans="1:12" ht="28.8" x14ac:dyDescent="0.55000000000000004">
      <c r="A2299" s="9" t="str">
        <f>HYPERLINK("PDF\FOIA-FWS-2020-00724-0002298.pdf","FOIA-FWS-2020-00724-0002298")</f>
        <v>FOIA-FWS-2020-00724-0002298</v>
      </c>
      <c r="B2299" s="3" t="s">
        <v>4030</v>
      </c>
      <c r="C2299" s="3" t="s">
        <v>234</v>
      </c>
      <c r="D2299" s="3" t="s">
        <v>33</v>
      </c>
      <c r="E2299" s="3" t="s">
        <v>4024</v>
      </c>
      <c r="F2299" s="4">
        <v>43732.439583333333</v>
      </c>
      <c r="G2299" s="3"/>
      <c r="H2299" s="3"/>
      <c r="I2299" s="3" t="s">
        <v>7043</v>
      </c>
      <c r="J2299" s="3"/>
      <c r="K2299" s="3"/>
      <c r="L2299" s="5"/>
    </row>
    <row r="2300" spans="1:12" ht="28.8" x14ac:dyDescent="0.55000000000000004">
      <c r="A2300" s="9" t="str">
        <f>HYPERLINK("PDF\FOIA-FWS-2020-00724-0002299.pdf","FOIA-FWS-2020-00724-0002299")</f>
        <v>FOIA-FWS-2020-00724-0002299</v>
      </c>
      <c r="B2300" s="3" t="s">
        <v>4030</v>
      </c>
      <c r="C2300" s="3" t="s">
        <v>234</v>
      </c>
      <c r="D2300" s="3" t="s">
        <v>33</v>
      </c>
      <c r="E2300" s="3" t="s">
        <v>4025</v>
      </c>
      <c r="F2300" s="4">
        <v>43732.439583333333</v>
      </c>
      <c r="G2300" s="3"/>
      <c r="H2300" s="3"/>
      <c r="I2300" s="3" t="s">
        <v>7043</v>
      </c>
      <c r="J2300" s="3"/>
      <c r="K2300" s="3"/>
      <c r="L2300" s="5"/>
    </row>
    <row r="2301" spans="1:12" ht="28.8" x14ac:dyDescent="0.55000000000000004">
      <c r="A2301" s="9" t="str">
        <f>HYPERLINK("PDF\FOIA-FWS-2020-00724-0002300.pdf","FOIA-FWS-2020-00724-0002300")</f>
        <v>FOIA-FWS-2020-00724-0002300</v>
      </c>
      <c r="B2301" s="3" t="s">
        <v>4030</v>
      </c>
      <c r="C2301" s="3" t="s">
        <v>234</v>
      </c>
      <c r="D2301" s="3" t="s">
        <v>33</v>
      </c>
      <c r="E2301" s="3" t="s">
        <v>4026</v>
      </c>
      <c r="F2301" s="4">
        <v>43732.439583333333</v>
      </c>
      <c r="G2301" s="3"/>
      <c r="H2301" s="3"/>
      <c r="I2301" s="3" t="s">
        <v>7043</v>
      </c>
      <c r="J2301" s="3"/>
      <c r="K2301" s="3"/>
      <c r="L2301" s="5"/>
    </row>
    <row r="2302" spans="1:12" ht="28.8" x14ac:dyDescent="0.55000000000000004">
      <c r="A2302" s="9" t="str">
        <f>HYPERLINK("PDF\FOIA-FWS-2020-00724-0002301.pdf","FOIA-FWS-2020-00724-0002301")</f>
        <v>FOIA-FWS-2020-00724-0002301</v>
      </c>
      <c r="B2302" s="3" t="s">
        <v>4030</v>
      </c>
      <c r="C2302" s="3" t="s">
        <v>234</v>
      </c>
      <c r="D2302" s="3" t="s">
        <v>33</v>
      </c>
      <c r="E2302" s="3" t="s">
        <v>4027</v>
      </c>
      <c r="F2302" s="4">
        <v>43732.439583333333</v>
      </c>
      <c r="G2302" s="3"/>
      <c r="H2302" s="3"/>
      <c r="I2302" s="3" t="s">
        <v>7043</v>
      </c>
      <c r="J2302" s="3"/>
      <c r="K2302" s="3"/>
      <c r="L2302" s="5"/>
    </row>
    <row r="2303" spans="1:12" ht="28.8" x14ac:dyDescent="0.55000000000000004">
      <c r="A2303" s="9" t="str">
        <f>HYPERLINK("PDF\FOIA-FWS-2020-00724-0002302.pdf","FOIA-FWS-2020-00724-0002302")</f>
        <v>FOIA-FWS-2020-00724-0002302</v>
      </c>
      <c r="B2303" s="3" t="s">
        <v>4030</v>
      </c>
      <c r="C2303" s="3" t="s">
        <v>234</v>
      </c>
      <c r="D2303" s="3" t="s">
        <v>33</v>
      </c>
      <c r="E2303" s="3" t="s">
        <v>4028</v>
      </c>
      <c r="F2303" s="4">
        <v>43732.439583333333</v>
      </c>
      <c r="G2303" s="3"/>
      <c r="H2303" s="3"/>
      <c r="I2303" s="3" t="s">
        <v>7043</v>
      </c>
      <c r="J2303" s="3"/>
      <c r="K2303" s="3"/>
      <c r="L2303" s="5"/>
    </row>
    <row r="2304" spans="1:12" ht="28.8" x14ac:dyDescent="0.55000000000000004">
      <c r="A2304" s="9" t="str">
        <f>HYPERLINK("PDF\FOIA-FWS-2020-00724-0002303.pdf","FOIA-FWS-2020-00724-0002303")</f>
        <v>FOIA-FWS-2020-00724-0002303</v>
      </c>
      <c r="B2304" s="3" t="s">
        <v>4030</v>
      </c>
      <c r="C2304" s="3" t="s">
        <v>234</v>
      </c>
      <c r="D2304" s="3" t="s">
        <v>33</v>
      </c>
      <c r="E2304" s="3" t="s">
        <v>4029</v>
      </c>
      <c r="F2304" s="4">
        <v>43732.439583333333</v>
      </c>
      <c r="G2304" s="3"/>
      <c r="H2304" s="3"/>
      <c r="I2304" s="3" t="s">
        <v>7043</v>
      </c>
      <c r="J2304" s="3"/>
      <c r="K2304" s="3"/>
      <c r="L2304" s="5"/>
    </row>
    <row r="2305" spans="1:12" ht="43.2" x14ac:dyDescent="0.55000000000000004">
      <c r="A2305" s="9" t="str">
        <f>HYPERLINK("PDF\FOIA-FWS-2020-00724-0002304.pdf","FOIA-FWS-2020-00724-0002304")</f>
        <v>FOIA-FWS-2020-00724-0002304</v>
      </c>
      <c r="B2305" s="3" t="s">
        <v>4030</v>
      </c>
      <c r="C2305" s="3" t="s">
        <v>234</v>
      </c>
      <c r="D2305" s="3" t="s">
        <v>33</v>
      </c>
      <c r="E2305" s="3" t="s">
        <v>3911</v>
      </c>
      <c r="F2305" s="4">
        <v>43732.439583333333</v>
      </c>
      <c r="G2305" s="3"/>
      <c r="H2305" s="3"/>
      <c r="I2305" s="3" t="s">
        <v>7043</v>
      </c>
      <c r="J2305" s="3"/>
      <c r="K2305" s="3"/>
      <c r="L2305" s="5"/>
    </row>
    <row r="2306" spans="1:12" ht="28.8" x14ac:dyDescent="0.55000000000000004">
      <c r="A2306" s="9" t="str">
        <f>HYPERLINK("PDF\FOIA-FWS-2020-00724-0002305.pdf","FOIA-FWS-2020-00724-0002305")</f>
        <v>FOIA-FWS-2020-00724-0002305</v>
      </c>
      <c r="B2306" s="3" t="s">
        <v>4032</v>
      </c>
      <c r="C2306" s="3" t="s">
        <v>3</v>
      </c>
      <c r="D2306" s="3" t="s">
        <v>33</v>
      </c>
      <c r="E2306" s="3" t="s">
        <v>4033</v>
      </c>
      <c r="F2306" s="4">
        <v>43732.751388888886</v>
      </c>
      <c r="G2306" s="3" t="s">
        <v>945</v>
      </c>
      <c r="H2306" s="3" t="s">
        <v>3560</v>
      </c>
      <c r="I2306" s="3" t="s">
        <v>7043</v>
      </c>
      <c r="J2306" s="3"/>
      <c r="K2306" s="3"/>
      <c r="L2306" s="5"/>
    </row>
    <row r="2307" spans="1:12" ht="28.8" x14ac:dyDescent="0.55000000000000004">
      <c r="A2307" s="9" t="str">
        <f>HYPERLINK("PDF\FOIA-FWS-2020-00724-0002306.pdf","FOIA-FWS-2020-00724-0002306")</f>
        <v>FOIA-FWS-2020-00724-0002306</v>
      </c>
      <c r="B2307" s="3" t="s">
        <v>4034</v>
      </c>
      <c r="C2307" s="3" t="s">
        <v>3</v>
      </c>
      <c r="D2307" s="3" t="s">
        <v>33</v>
      </c>
      <c r="E2307" s="3" t="s">
        <v>4035</v>
      </c>
      <c r="F2307" s="4">
        <v>43733</v>
      </c>
      <c r="G2307" s="3"/>
      <c r="H2307" s="3"/>
      <c r="I2307" s="3" t="s">
        <v>7043</v>
      </c>
      <c r="J2307" s="3"/>
      <c r="K2307" s="3"/>
      <c r="L2307" s="5"/>
    </row>
    <row r="2308" spans="1:12" ht="28.8" x14ac:dyDescent="0.55000000000000004">
      <c r="A2308" s="9" t="str">
        <f>HYPERLINK("PDF\FOIA-FWS-2020-00724-0002307.pdf","FOIA-FWS-2020-00724-0002307")</f>
        <v>FOIA-FWS-2020-00724-0002307</v>
      </c>
      <c r="B2308" s="3" t="s">
        <v>4036</v>
      </c>
      <c r="C2308" s="3" t="s">
        <v>3</v>
      </c>
      <c r="D2308" s="3" t="s">
        <v>33</v>
      </c>
      <c r="E2308" s="3" t="s">
        <v>4033</v>
      </c>
      <c r="F2308" s="4">
        <v>43733.512499999997</v>
      </c>
      <c r="G2308" s="3" t="s">
        <v>3560</v>
      </c>
      <c r="H2308" s="3" t="s">
        <v>945</v>
      </c>
      <c r="I2308" s="3" t="s">
        <v>7043</v>
      </c>
      <c r="J2308" s="3"/>
      <c r="K2308" s="3"/>
      <c r="L2308" s="5"/>
    </row>
    <row r="2309" spans="1:12" ht="28.8" x14ac:dyDescent="0.55000000000000004">
      <c r="A2309" s="9" t="str">
        <f>HYPERLINK("PDF\FOIA-FWS-2020-00724-0002308.pdf","FOIA-FWS-2020-00724-0002308")</f>
        <v>FOIA-FWS-2020-00724-0002308</v>
      </c>
      <c r="B2309" s="3" t="s">
        <v>4036</v>
      </c>
      <c r="C2309" s="3" t="s">
        <v>234</v>
      </c>
      <c r="D2309" s="3" t="s">
        <v>33</v>
      </c>
      <c r="E2309" s="3" t="s">
        <v>4037</v>
      </c>
      <c r="F2309" s="4">
        <v>43733.512499999997</v>
      </c>
      <c r="G2309" s="3"/>
      <c r="H2309" s="3"/>
      <c r="I2309" s="3" t="s">
        <v>7043</v>
      </c>
      <c r="J2309" s="3"/>
      <c r="K2309" s="3"/>
      <c r="L2309" s="5"/>
    </row>
    <row r="2310" spans="1:12" ht="28.8" x14ac:dyDescent="0.55000000000000004">
      <c r="A2310" s="9" t="str">
        <f>HYPERLINK("PDF\FOIA-FWS-2020-00724-0002309.pdf","FOIA-FWS-2020-00724-0002309")</f>
        <v>FOIA-FWS-2020-00724-0002309</v>
      </c>
      <c r="B2310" s="3" t="s">
        <v>4038</v>
      </c>
      <c r="C2310" s="3" t="s">
        <v>3</v>
      </c>
      <c r="D2310" s="3" t="s">
        <v>33</v>
      </c>
      <c r="E2310" s="3" t="s">
        <v>4033</v>
      </c>
      <c r="F2310" s="4">
        <v>43733.5625</v>
      </c>
      <c r="G2310" s="3" t="s">
        <v>3560</v>
      </c>
      <c r="H2310" s="3" t="s">
        <v>945</v>
      </c>
      <c r="I2310" s="3" t="s">
        <v>7043</v>
      </c>
      <c r="J2310" s="3"/>
      <c r="K2310" s="3"/>
      <c r="L2310" s="5"/>
    </row>
    <row r="2311" spans="1:12" ht="28.8" x14ac:dyDescent="0.55000000000000004">
      <c r="A2311" s="9" t="str">
        <f>HYPERLINK("PDF\FOIA-FWS-2020-00724-0002310.pdf","FOIA-FWS-2020-00724-0002310")</f>
        <v>FOIA-FWS-2020-00724-0002310</v>
      </c>
      <c r="B2311" s="3" t="s">
        <v>4039</v>
      </c>
      <c r="C2311" s="3" t="s">
        <v>3</v>
      </c>
      <c r="D2311" s="3" t="s">
        <v>33</v>
      </c>
      <c r="E2311" s="3" t="s">
        <v>4033</v>
      </c>
      <c r="F2311" s="4">
        <v>43733.622916666667</v>
      </c>
      <c r="G2311" s="3" t="s">
        <v>945</v>
      </c>
      <c r="H2311" s="3" t="s">
        <v>4040</v>
      </c>
      <c r="I2311" s="3" t="s">
        <v>7043</v>
      </c>
      <c r="J2311" s="3"/>
      <c r="K2311" s="3"/>
      <c r="L2311" s="5"/>
    </row>
    <row r="2312" spans="1:12" ht="28.8" x14ac:dyDescent="0.55000000000000004">
      <c r="A2312" s="9" t="str">
        <f>HYPERLINK("PDF\FOIA-FWS-2020-00724-0002311.pdf","FOIA-FWS-2020-00724-0002311")</f>
        <v>FOIA-FWS-2020-00724-0002311</v>
      </c>
      <c r="B2312" s="3" t="s">
        <v>4039</v>
      </c>
      <c r="C2312" s="3" t="s">
        <v>234</v>
      </c>
      <c r="D2312" s="3" t="s">
        <v>33</v>
      </c>
      <c r="E2312" s="3" t="s">
        <v>4037</v>
      </c>
      <c r="F2312" s="4">
        <v>43733.622916666667</v>
      </c>
      <c r="G2312" s="3"/>
      <c r="H2312" s="3"/>
      <c r="I2312" s="3" t="s">
        <v>7043</v>
      </c>
      <c r="J2312" s="3"/>
      <c r="K2312" s="3"/>
      <c r="L2312" s="5"/>
    </row>
    <row r="2313" spans="1:12" ht="28.8" x14ac:dyDescent="0.55000000000000004">
      <c r="A2313" s="9" t="str">
        <f>HYPERLINK("PDF\FOIA-FWS-2020-00724-0002312.pdf","FOIA-FWS-2020-00724-0002312")</f>
        <v>FOIA-FWS-2020-00724-0002312</v>
      </c>
      <c r="B2313" s="3" t="s">
        <v>4039</v>
      </c>
      <c r="C2313" s="3" t="s">
        <v>234</v>
      </c>
      <c r="D2313" s="3" t="s">
        <v>33</v>
      </c>
      <c r="E2313" s="3" t="s">
        <v>4041</v>
      </c>
      <c r="F2313" s="4">
        <v>43733.622916666667</v>
      </c>
      <c r="G2313" s="3"/>
      <c r="H2313" s="3"/>
      <c r="I2313" s="3" t="s">
        <v>7043</v>
      </c>
      <c r="J2313" s="3"/>
      <c r="K2313" s="3"/>
      <c r="L2313" s="5"/>
    </row>
    <row r="2314" spans="1:12" ht="28.8" x14ac:dyDescent="0.55000000000000004">
      <c r="A2314" s="9" t="str">
        <f>HYPERLINK("PDF\FOIA-FWS-2020-00724-0002313.pdf","FOIA-FWS-2020-00724-0002313")</f>
        <v>FOIA-FWS-2020-00724-0002313</v>
      </c>
      <c r="B2314" s="3" t="s">
        <v>4042</v>
      </c>
      <c r="C2314" s="3" t="s">
        <v>3</v>
      </c>
      <c r="D2314" s="3" t="s">
        <v>33</v>
      </c>
      <c r="E2314" s="3" t="s">
        <v>4033</v>
      </c>
      <c r="F2314" s="4">
        <v>43733.628472222219</v>
      </c>
      <c r="G2314" s="3" t="s">
        <v>4043</v>
      </c>
      <c r="H2314" s="3" t="s">
        <v>945</v>
      </c>
      <c r="I2314" s="3" t="s">
        <v>7043</v>
      </c>
      <c r="J2314" s="3"/>
      <c r="K2314" s="3"/>
      <c r="L2314" s="5"/>
    </row>
    <row r="2315" spans="1:12" ht="28.8" x14ac:dyDescent="0.55000000000000004">
      <c r="A2315" s="9" t="str">
        <f>HYPERLINK("PDF\FOIA-FWS-2020-00724-0002314.pdf","FOIA-FWS-2020-00724-0002314")</f>
        <v>FOIA-FWS-2020-00724-0002314</v>
      </c>
      <c r="B2315" s="3" t="s">
        <v>4044</v>
      </c>
      <c r="C2315" s="3" t="s">
        <v>3</v>
      </c>
      <c r="D2315" s="3" t="s">
        <v>33</v>
      </c>
      <c r="E2315" s="3" t="s">
        <v>4033</v>
      </c>
      <c r="F2315" s="4">
        <v>43733.73541666667</v>
      </c>
      <c r="G2315" s="3" t="s">
        <v>945</v>
      </c>
      <c r="H2315" s="3" t="s">
        <v>4045</v>
      </c>
      <c r="I2315" s="3" t="s">
        <v>7043</v>
      </c>
      <c r="J2315" s="3"/>
      <c r="K2315" s="3"/>
      <c r="L2315" s="5"/>
    </row>
    <row r="2316" spans="1:12" ht="28.8" x14ac:dyDescent="0.55000000000000004">
      <c r="A2316" s="9" t="str">
        <f>HYPERLINK("PDF\FOIA-FWS-2020-00724-0002315.pdf","FOIA-FWS-2020-00724-0002315")</f>
        <v>FOIA-FWS-2020-00724-0002315</v>
      </c>
      <c r="B2316" s="3" t="s">
        <v>4044</v>
      </c>
      <c r="C2316" s="3" t="s">
        <v>234</v>
      </c>
      <c r="D2316" s="3" t="s">
        <v>33</v>
      </c>
      <c r="E2316" s="3" t="s">
        <v>4046</v>
      </c>
      <c r="F2316" s="4">
        <v>43733.73541666667</v>
      </c>
      <c r="G2316" s="3"/>
      <c r="H2316" s="3"/>
      <c r="I2316" s="3" t="s">
        <v>7043</v>
      </c>
      <c r="J2316" s="3"/>
      <c r="K2316" s="3"/>
      <c r="L2316" s="5"/>
    </row>
    <row r="2317" spans="1:12" ht="28.8" x14ac:dyDescent="0.55000000000000004">
      <c r="A2317" s="9" t="str">
        <f>HYPERLINK("PDF\FOIA-FWS-2020-00724-0002316.pdf","FOIA-FWS-2020-00724-0002316")</f>
        <v>FOIA-FWS-2020-00724-0002316</v>
      </c>
      <c r="B2317" s="3" t="s">
        <v>4047</v>
      </c>
      <c r="C2317" s="3" t="s">
        <v>3</v>
      </c>
      <c r="D2317" s="3" t="s">
        <v>33</v>
      </c>
      <c r="E2317" s="3" t="s">
        <v>4049</v>
      </c>
      <c r="F2317" s="4">
        <v>43733.769444444442</v>
      </c>
      <c r="G2317" s="3" t="s">
        <v>4048</v>
      </c>
      <c r="H2317" s="3" t="s">
        <v>955</v>
      </c>
      <c r="I2317" s="3" t="s">
        <v>7043</v>
      </c>
      <c r="J2317" s="3"/>
      <c r="K2317" s="3"/>
      <c r="L2317" s="5"/>
    </row>
    <row r="2318" spans="1:12" ht="28.8" x14ac:dyDescent="0.55000000000000004">
      <c r="A2318" s="9" t="str">
        <f>HYPERLINK("PDF\FOIA-FWS-2020-00724-0002317.pdf","FOIA-FWS-2020-00724-0002317")</f>
        <v>FOIA-FWS-2020-00724-0002317</v>
      </c>
      <c r="B2318" s="3" t="s">
        <v>4047</v>
      </c>
      <c r="C2318" s="3" t="s">
        <v>234</v>
      </c>
      <c r="D2318" s="3" t="s">
        <v>33</v>
      </c>
      <c r="E2318" s="3" t="s">
        <v>4050</v>
      </c>
      <c r="F2318" s="4">
        <v>43733.769444444442</v>
      </c>
      <c r="G2318" s="3"/>
      <c r="H2318" s="3"/>
      <c r="I2318" s="3" t="s">
        <v>7043</v>
      </c>
      <c r="J2318" s="3"/>
      <c r="K2318" s="3"/>
      <c r="L2318" s="5"/>
    </row>
    <row r="2319" spans="1:12" ht="28.8" x14ac:dyDescent="0.55000000000000004">
      <c r="A2319" s="9" t="str">
        <f>HYPERLINK("PDF\FOIA-FWS-2020-00724-0002318.pdf","FOIA-FWS-2020-00724-0002318")</f>
        <v>FOIA-FWS-2020-00724-0002318</v>
      </c>
      <c r="B2319" s="3" t="s">
        <v>4051</v>
      </c>
      <c r="C2319" s="3" t="s">
        <v>3</v>
      </c>
      <c r="D2319" s="3" t="s">
        <v>33</v>
      </c>
      <c r="E2319" s="3" t="s">
        <v>4052</v>
      </c>
      <c r="F2319" s="4">
        <v>43734.423611111109</v>
      </c>
      <c r="G2319" s="3" t="s">
        <v>919</v>
      </c>
      <c r="H2319" s="3" t="s">
        <v>955</v>
      </c>
      <c r="I2319" s="3" t="s">
        <v>7043</v>
      </c>
      <c r="J2319" s="3"/>
      <c r="K2319" s="3"/>
      <c r="L2319" s="5"/>
    </row>
    <row r="2320" spans="1:12" ht="28.8" x14ac:dyDescent="0.55000000000000004">
      <c r="A2320" s="9" t="str">
        <f>HYPERLINK("PDF\FOIA-FWS-2020-00724-0002319.pdf","FOIA-FWS-2020-00724-0002319")</f>
        <v>FOIA-FWS-2020-00724-0002319</v>
      </c>
      <c r="B2320" s="3" t="s">
        <v>4051</v>
      </c>
      <c r="C2320" s="3" t="s">
        <v>234</v>
      </c>
      <c r="D2320" s="3" t="s">
        <v>160</v>
      </c>
      <c r="E2320" s="3" t="s">
        <v>3462</v>
      </c>
      <c r="F2320" s="4">
        <v>43734.423611111109</v>
      </c>
      <c r="G2320" s="3"/>
      <c r="H2320" s="3"/>
      <c r="I2320" s="3" t="s">
        <v>7043</v>
      </c>
      <c r="J2320" s="3"/>
      <c r="K2320" s="3"/>
      <c r="L2320" s="5"/>
    </row>
    <row r="2321" spans="1:12" ht="28.8" x14ac:dyDescent="0.55000000000000004">
      <c r="A2321" s="9" t="str">
        <f>HYPERLINK("PDF\FOIA-FWS-2020-00724-0002320.pdf","FOIA-FWS-2020-00724-0002320")</f>
        <v>FOIA-FWS-2020-00724-0002320</v>
      </c>
      <c r="B2321" s="3" t="s">
        <v>4053</v>
      </c>
      <c r="C2321" s="3" t="s">
        <v>3</v>
      </c>
      <c r="D2321" s="3" t="s">
        <v>33</v>
      </c>
      <c r="E2321" s="3" t="s">
        <v>4054</v>
      </c>
      <c r="F2321" s="4">
        <v>43734.443055555559</v>
      </c>
      <c r="G2321" s="3" t="s">
        <v>2925</v>
      </c>
      <c r="H2321" s="3" t="s">
        <v>919</v>
      </c>
      <c r="I2321" s="3" t="s">
        <v>7043</v>
      </c>
      <c r="J2321" s="3"/>
      <c r="K2321" s="3"/>
      <c r="L2321" s="5"/>
    </row>
    <row r="2322" spans="1:12" ht="28.8" x14ac:dyDescent="0.55000000000000004">
      <c r="A2322" s="9" t="str">
        <f>HYPERLINK("PDF\FOIA-FWS-2020-00724-0002321.pdf","FOIA-FWS-2020-00724-0002321")</f>
        <v>FOIA-FWS-2020-00724-0002321</v>
      </c>
      <c r="B2322" s="3" t="s">
        <v>4053</v>
      </c>
      <c r="C2322" s="3" t="s">
        <v>234</v>
      </c>
      <c r="D2322" s="3" t="s">
        <v>160</v>
      </c>
      <c r="E2322" s="3" t="s">
        <v>4055</v>
      </c>
      <c r="F2322" s="4">
        <v>43734.443055555559</v>
      </c>
      <c r="G2322" s="3"/>
      <c r="H2322" s="3"/>
      <c r="I2322" s="3" t="s">
        <v>7043</v>
      </c>
      <c r="J2322" s="3"/>
      <c r="K2322" s="3"/>
      <c r="L2322" s="5" t="str">
        <f>HYPERLINK("NATIVE_FILES\FOIA-FWS-2020-00724-0002321.dbf","FOIA-FWS-2020-00724-0002321.dbf")</f>
        <v>FOIA-FWS-2020-00724-0002321.dbf</v>
      </c>
    </row>
    <row r="2323" spans="1:12" ht="28.8" x14ac:dyDescent="0.55000000000000004">
      <c r="A2323" s="9" t="str">
        <f>HYPERLINK("PDF\FOIA-FWS-2020-00724-0002322.pdf","FOIA-FWS-2020-00724-0002322")</f>
        <v>FOIA-FWS-2020-00724-0002322</v>
      </c>
      <c r="B2323" s="3" t="s">
        <v>4053</v>
      </c>
      <c r="C2323" s="3" t="s">
        <v>234</v>
      </c>
      <c r="D2323" s="3" t="s">
        <v>160</v>
      </c>
      <c r="E2323" s="3" t="s">
        <v>4056</v>
      </c>
      <c r="F2323" s="4">
        <v>43734.443055555559</v>
      </c>
      <c r="G2323" s="3"/>
      <c r="H2323" s="3"/>
      <c r="I2323" s="3" t="s">
        <v>7043</v>
      </c>
      <c r="J2323" s="3"/>
      <c r="K2323" s="3"/>
      <c r="L2323" s="5" t="str">
        <f>HYPERLINK("NATIVE_FILES\FOIA-FWS-2020-00724-0002322.prj","FOIA-FWS-2020-00724-0002322.prj")</f>
        <v>FOIA-FWS-2020-00724-0002322.prj</v>
      </c>
    </row>
    <row r="2324" spans="1:12" ht="28.8" x14ac:dyDescent="0.55000000000000004">
      <c r="A2324" s="9" t="str">
        <f>HYPERLINK("PDF\FOIA-FWS-2020-00724-0002323.pdf","FOIA-FWS-2020-00724-0002323")</f>
        <v>FOIA-FWS-2020-00724-0002323</v>
      </c>
      <c r="B2324" s="3" t="s">
        <v>4053</v>
      </c>
      <c r="C2324" s="3" t="s">
        <v>234</v>
      </c>
      <c r="D2324" s="3" t="s">
        <v>160</v>
      </c>
      <c r="E2324" s="3" t="s">
        <v>4057</v>
      </c>
      <c r="F2324" s="4">
        <v>43734.443055555559</v>
      </c>
      <c r="G2324" s="3"/>
      <c r="H2324" s="3"/>
      <c r="I2324" s="3" t="s">
        <v>7043</v>
      </c>
      <c r="J2324" s="3"/>
      <c r="K2324" s="3"/>
      <c r="L2324" s="5" t="str">
        <f>HYPERLINK("NATIVE_FILES\FOIA-FWS-2020-00724-0002323.sbn","FOIA-FWS-2020-00724-0002323.sbn")</f>
        <v>FOIA-FWS-2020-00724-0002323.sbn</v>
      </c>
    </row>
    <row r="2325" spans="1:12" ht="28.8" x14ac:dyDescent="0.55000000000000004">
      <c r="A2325" s="9" t="str">
        <f>HYPERLINK("PDF\FOIA-FWS-2020-00724-0002324.pdf","FOIA-FWS-2020-00724-0002324")</f>
        <v>FOIA-FWS-2020-00724-0002324</v>
      </c>
      <c r="B2325" s="3" t="s">
        <v>4053</v>
      </c>
      <c r="C2325" s="3" t="s">
        <v>234</v>
      </c>
      <c r="D2325" s="3" t="s">
        <v>160</v>
      </c>
      <c r="E2325" s="3" t="s">
        <v>4058</v>
      </c>
      <c r="F2325" s="4">
        <v>43734.443055555559</v>
      </c>
      <c r="G2325" s="3"/>
      <c r="H2325" s="3"/>
      <c r="I2325" s="3" t="s">
        <v>7043</v>
      </c>
      <c r="J2325" s="3"/>
      <c r="K2325" s="3"/>
      <c r="L2325" s="5" t="str">
        <f>HYPERLINK("NATIVE_FILES\FOIA-FWS-2020-00724-0002324.sbx","FOIA-FWS-2020-00724-0002324.sbx")</f>
        <v>FOIA-FWS-2020-00724-0002324.sbx</v>
      </c>
    </row>
    <row r="2326" spans="1:12" ht="28.8" x14ac:dyDescent="0.55000000000000004">
      <c r="A2326" s="9" t="str">
        <f>HYPERLINK("PDF\FOIA-FWS-2020-00724-0002325.pdf","FOIA-FWS-2020-00724-0002325")</f>
        <v>FOIA-FWS-2020-00724-0002325</v>
      </c>
      <c r="B2326" s="3" t="s">
        <v>4053</v>
      </c>
      <c r="C2326" s="3" t="s">
        <v>234</v>
      </c>
      <c r="D2326" s="3" t="s">
        <v>160</v>
      </c>
      <c r="E2326" s="3" t="s">
        <v>4059</v>
      </c>
      <c r="F2326" s="4">
        <v>43734.443055555559</v>
      </c>
      <c r="G2326" s="3"/>
      <c r="H2326" s="3"/>
      <c r="I2326" s="3" t="s">
        <v>7043</v>
      </c>
      <c r="J2326" s="3"/>
      <c r="K2326" s="3"/>
      <c r="L2326" s="5" t="str">
        <f>HYPERLINK("NATIVE_FILES\FOIA-FWS-2020-00724-0002325.shp","FOIA-FWS-2020-00724-0002325.shp")</f>
        <v>FOIA-FWS-2020-00724-0002325.shp</v>
      </c>
    </row>
    <row r="2327" spans="1:12" ht="28.8" x14ac:dyDescent="0.55000000000000004">
      <c r="A2327" s="9" t="str">
        <f>HYPERLINK("PDF\FOIA-FWS-2020-00724-0002326.pdf","FOIA-FWS-2020-00724-0002326")</f>
        <v>FOIA-FWS-2020-00724-0002326</v>
      </c>
      <c r="B2327" s="3" t="s">
        <v>4053</v>
      </c>
      <c r="C2327" s="3" t="s">
        <v>234</v>
      </c>
      <c r="D2327" s="3" t="s">
        <v>160</v>
      </c>
      <c r="E2327" s="3" t="s">
        <v>4060</v>
      </c>
      <c r="F2327" s="4">
        <v>43734.443055555559</v>
      </c>
      <c r="G2327" s="3"/>
      <c r="H2327" s="3"/>
      <c r="I2327" s="3" t="s">
        <v>7043</v>
      </c>
      <c r="J2327" s="3"/>
      <c r="K2327" s="3"/>
      <c r="L2327" s="5" t="str">
        <f>HYPERLINK("NATIVE_FILES\FOIA-FWS-2020-00724-0002326.xml","FOIA-FWS-2020-00724-0002326.xml")</f>
        <v>FOIA-FWS-2020-00724-0002326.xml</v>
      </c>
    </row>
    <row r="2328" spans="1:12" ht="28.8" x14ac:dyDescent="0.55000000000000004">
      <c r="A2328" s="9" t="str">
        <f>HYPERLINK("PDF\FOIA-FWS-2020-00724-0002327.pdf","FOIA-FWS-2020-00724-0002327")</f>
        <v>FOIA-FWS-2020-00724-0002327</v>
      </c>
      <c r="B2328" s="3" t="s">
        <v>4053</v>
      </c>
      <c r="C2328" s="3" t="s">
        <v>234</v>
      </c>
      <c r="D2328" s="3" t="s">
        <v>160</v>
      </c>
      <c r="E2328" s="3" t="s">
        <v>4061</v>
      </c>
      <c r="F2328" s="4">
        <v>43734.443055555559</v>
      </c>
      <c r="G2328" s="3"/>
      <c r="H2328" s="3"/>
      <c r="I2328" s="3" t="s">
        <v>7043</v>
      </c>
      <c r="J2328" s="3"/>
      <c r="K2328" s="3"/>
      <c r="L2328" s="5" t="str">
        <f>HYPERLINK("NATIVE_FILES\FOIA-FWS-2020-00724-0002327.shx","FOIA-FWS-2020-00724-0002327.shx")</f>
        <v>FOIA-FWS-2020-00724-0002327.shx</v>
      </c>
    </row>
    <row r="2329" spans="1:12" ht="72" x14ac:dyDescent="0.55000000000000004">
      <c r="A2329" s="9" t="str">
        <f>HYPERLINK("PDF\FOIA-FWS-2020-00724-0002328.pdf","FOIA-FWS-2020-00724-0002328")</f>
        <v>FOIA-FWS-2020-00724-0002328</v>
      </c>
      <c r="B2329" s="3" t="s">
        <v>4062</v>
      </c>
      <c r="C2329" s="3" t="s">
        <v>3</v>
      </c>
      <c r="D2329" s="3" t="s">
        <v>33</v>
      </c>
      <c r="E2329" s="3" t="s">
        <v>4063</v>
      </c>
      <c r="F2329" s="4">
        <v>43734.493750000001</v>
      </c>
      <c r="G2329" s="3" t="s">
        <v>963</v>
      </c>
      <c r="H2329" s="3" t="s">
        <v>955</v>
      </c>
      <c r="I2329" s="3" t="s">
        <v>7043</v>
      </c>
      <c r="J2329" s="3"/>
      <c r="K2329" s="3"/>
      <c r="L2329" s="5"/>
    </row>
    <row r="2330" spans="1:12" ht="28.8" x14ac:dyDescent="0.55000000000000004">
      <c r="A2330" s="9" t="str">
        <f>HYPERLINK("PDF\FOIA-FWS-2020-00724-0002329.pdf","FOIA-FWS-2020-00724-0002329")</f>
        <v>FOIA-FWS-2020-00724-0002329</v>
      </c>
      <c r="B2330" s="3" t="s">
        <v>4062</v>
      </c>
      <c r="C2330" s="3" t="s">
        <v>234</v>
      </c>
      <c r="D2330" s="3" t="s">
        <v>33</v>
      </c>
      <c r="E2330" s="3" t="s">
        <v>4064</v>
      </c>
      <c r="F2330" s="4">
        <v>43734.493750000001</v>
      </c>
      <c r="G2330" s="3"/>
      <c r="H2330" s="3"/>
      <c r="I2330" s="3" t="s">
        <v>7043</v>
      </c>
      <c r="J2330" s="3"/>
      <c r="K2330" s="3"/>
      <c r="L2330" s="5"/>
    </row>
    <row r="2331" spans="1:12" ht="28.8" x14ac:dyDescent="0.55000000000000004">
      <c r="A2331" s="9" t="str">
        <f>HYPERLINK("PDF\FOIA-FWS-2020-00724-0002330.pdf","FOIA-FWS-2020-00724-0002330")</f>
        <v>FOIA-FWS-2020-00724-0002330</v>
      </c>
      <c r="B2331" s="3" t="s">
        <v>4062</v>
      </c>
      <c r="C2331" s="3" t="s">
        <v>234</v>
      </c>
      <c r="D2331" s="3" t="s">
        <v>4</v>
      </c>
      <c r="E2331" s="3" t="s">
        <v>4025</v>
      </c>
      <c r="F2331" s="4">
        <v>43734.493750000001</v>
      </c>
      <c r="G2331" s="3"/>
      <c r="H2331" s="3"/>
      <c r="I2331" s="3" t="s">
        <v>7043</v>
      </c>
      <c r="J2331" s="3"/>
      <c r="K2331" s="3"/>
      <c r="L2331" s="5"/>
    </row>
    <row r="2332" spans="1:12" ht="28.8" x14ac:dyDescent="0.55000000000000004">
      <c r="A2332" s="9" t="str">
        <f>HYPERLINK("PDF\FOIA-FWS-2020-00724-0002331.pdf","FOIA-FWS-2020-00724-0002331")</f>
        <v>FOIA-FWS-2020-00724-0002331</v>
      </c>
      <c r="B2332" s="3" t="s">
        <v>4065</v>
      </c>
      <c r="C2332" s="3" t="s">
        <v>3</v>
      </c>
      <c r="D2332" s="3" t="s">
        <v>33</v>
      </c>
      <c r="E2332" s="3" t="s">
        <v>4066</v>
      </c>
      <c r="F2332" s="4">
        <v>43734.675694444442</v>
      </c>
      <c r="G2332" s="3" t="s">
        <v>2925</v>
      </c>
      <c r="H2332" s="3" t="s">
        <v>919</v>
      </c>
      <c r="I2332" s="3" t="s">
        <v>7043</v>
      </c>
      <c r="J2332" s="3"/>
      <c r="K2332" s="3"/>
      <c r="L2332" s="5"/>
    </row>
    <row r="2333" spans="1:12" ht="28.8" x14ac:dyDescent="0.55000000000000004">
      <c r="A2333" s="9" t="str">
        <f>HYPERLINK("PDF\FOIA-FWS-2020-00724-0002332.pdf","FOIA-FWS-2020-00724-0002332")</f>
        <v>FOIA-FWS-2020-00724-0002332</v>
      </c>
      <c r="B2333" s="3" t="s">
        <v>4065</v>
      </c>
      <c r="C2333" s="3" t="s">
        <v>234</v>
      </c>
      <c r="D2333" s="3" t="s">
        <v>160</v>
      </c>
      <c r="E2333" s="3" t="s">
        <v>4067</v>
      </c>
      <c r="F2333" s="4">
        <v>43734.675694444442</v>
      </c>
      <c r="G2333" s="3"/>
      <c r="H2333" s="3"/>
      <c r="I2333" s="3" t="s">
        <v>7043</v>
      </c>
      <c r="J2333" s="3"/>
      <c r="K2333" s="3"/>
      <c r="L2333" s="5" t="str">
        <f>HYPERLINK("NATIVE_FILES\FOIA-FWS-2020-00724-0002332.dbf","FOIA-FWS-2020-00724-0002332.dbf")</f>
        <v>FOIA-FWS-2020-00724-0002332.dbf</v>
      </c>
    </row>
    <row r="2334" spans="1:12" ht="28.8" x14ac:dyDescent="0.55000000000000004">
      <c r="A2334" s="9" t="str">
        <f>HYPERLINK("PDF\FOIA-FWS-2020-00724-0002333.pdf","FOIA-FWS-2020-00724-0002333")</f>
        <v>FOIA-FWS-2020-00724-0002333</v>
      </c>
      <c r="B2334" s="3" t="s">
        <v>4065</v>
      </c>
      <c r="C2334" s="3" t="s">
        <v>234</v>
      </c>
      <c r="D2334" s="3" t="s">
        <v>160</v>
      </c>
      <c r="E2334" s="3" t="s">
        <v>4068</v>
      </c>
      <c r="F2334" s="4">
        <v>43734.675694444442</v>
      </c>
      <c r="G2334" s="3"/>
      <c r="H2334" s="3"/>
      <c r="I2334" s="3" t="s">
        <v>7043</v>
      </c>
      <c r="J2334" s="3"/>
      <c r="K2334" s="3"/>
      <c r="L2334" s="5" t="str">
        <f>HYPERLINK("NATIVE_FILES\FOIA-FWS-2020-00724-0002333.prj","FOIA-FWS-2020-00724-0002333.prj")</f>
        <v>FOIA-FWS-2020-00724-0002333.prj</v>
      </c>
    </row>
    <row r="2335" spans="1:12" ht="28.8" x14ac:dyDescent="0.55000000000000004">
      <c r="A2335" s="9" t="str">
        <f>HYPERLINK("PDF\FOIA-FWS-2020-00724-0002334.pdf","FOIA-FWS-2020-00724-0002334")</f>
        <v>FOIA-FWS-2020-00724-0002334</v>
      </c>
      <c r="B2335" s="3" t="s">
        <v>4065</v>
      </c>
      <c r="C2335" s="3" t="s">
        <v>234</v>
      </c>
      <c r="D2335" s="3" t="s">
        <v>160</v>
      </c>
      <c r="E2335" s="3" t="s">
        <v>4069</v>
      </c>
      <c r="F2335" s="4">
        <v>43734.675694444442</v>
      </c>
      <c r="G2335" s="3"/>
      <c r="H2335" s="3"/>
      <c r="I2335" s="3" t="s">
        <v>7043</v>
      </c>
      <c r="J2335" s="3"/>
      <c r="K2335" s="3"/>
      <c r="L2335" s="5" t="str">
        <f>HYPERLINK("NATIVE_FILES\FOIA-FWS-2020-00724-0002334.sbn","FOIA-FWS-2020-00724-0002334.sbn")</f>
        <v>FOIA-FWS-2020-00724-0002334.sbn</v>
      </c>
    </row>
    <row r="2336" spans="1:12" ht="28.8" x14ac:dyDescent="0.55000000000000004">
      <c r="A2336" s="9" t="str">
        <f>HYPERLINK("PDF\FOIA-FWS-2020-00724-0002335.pdf","FOIA-FWS-2020-00724-0002335")</f>
        <v>FOIA-FWS-2020-00724-0002335</v>
      </c>
      <c r="B2336" s="3" t="s">
        <v>4065</v>
      </c>
      <c r="C2336" s="3" t="s">
        <v>234</v>
      </c>
      <c r="D2336" s="3" t="s">
        <v>160</v>
      </c>
      <c r="E2336" s="3" t="s">
        <v>4070</v>
      </c>
      <c r="F2336" s="4">
        <v>43734.675694444442</v>
      </c>
      <c r="G2336" s="3"/>
      <c r="H2336" s="3"/>
      <c r="I2336" s="3" t="s">
        <v>7043</v>
      </c>
      <c r="J2336" s="3"/>
      <c r="K2336" s="3"/>
      <c r="L2336" s="5" t="str">
        <f>HYPERLINK("NATIVE_FILES\FOIA-FWS-2020-00724-0002335.sbx","FOIA-FWS-2020-00724-0002335.sbx")</f>
        <v>FOIA-FWS-2020-00724-0002335.sbx</v>
      </c>
    </row>
    <row r="2337" spans="1:12" ht="28.8" x14ac:dyDescent="0.55000000000000004">
      <c r="A2337" s="9" t="str">
        <f>HYPERLINK("PDF\FOIA-FWS-2020-00724-0002336.pdf","FOIA-FWS-2020-00724-0002336")</f>
        <v>FOIA-FWS-2020-00724-0002336</v>
      </c>
      <c r="B2337" s="3" t="s">
        <v>4065</v>
      </c>
      <c r="C2337" s="3" t="s">
        <v>234</v>
      </c>
      <c r="D2337" s="3" t="s">
        <v>160</v>
      </c>
      <c r="E2337" s="3" t="s">
        <v>4071</v>
      </c>
      <c r="F2337" s="4">
        <v>43734.675694444442</v>
      </c>
      <c r="G2337" s="3"/>
      <c r="H2337" s="3"/>
      <c r="I2337" s="3" t="s">
        <v>7043</v>
      </c>
      <c r="J2337" s="3"/>
      <c r="K2337" s="3"/>
      <c r="L2337" s="5" t="str">
        <f>HYPERLINK("NATIVE_FILES\FOIA-FWS-2020-00724-0002336.shp","FOIA-FWS-2020-00724-0002336.shp")</f>
        <v>FOIA-FWS-2020-00724-0002336.shp</v>
      </c>
    </row>
    <row r="2338" spans="1:12" ht="28.8" x14ac:dyDescent="0.55000000000000004">
      <c r="A2338" s="9" t="str">
        <f>HYPERLINK("PDF\FOIA-FWS-2020-00724-0002337.pdf","FOIA-FWS-2020-00724-0002337")</f>
        <v>FOIA-FWS-2020-00724-0002337</v>
      </c>
      <c r="B2338" s="3" t="s">
        <v>4065</v>
      </c>
      <c r="C2338" s="3" t="s">
        <v>234</v>
      </c>
      <c r="D2338" s="3" t="s">
        <v>160</v>
      </c>
      <c r="E2338" s="3" t="s">
        <v>4072</v>
      </c>
      <c r="F2338" s="4">
        <v>43734.675694444442</v>
      </c>
      <c r="G2338" s="3"/>
      <c r="H2338" s="3"/>
      <c r="I2338" s="3" t="s">
        <v>7043</v>
      </c>
      <c r="J2338" s="3"/>
      <c r="K2338" s="3"/>
      <c r="L2338" s="5" t="str">
        <f>HYPERLINK("NATIVE_FILES\FOIA-FWS-2020-00724-0002337.xml","FOIA-FWS-2020-00724-0002337.xml")</f>
        <v>FOIA-FWS-2020-00724-0002337.xml</v>
      </c>
    </row>
    <row r="2339" spans="1:12" ht="28.8" x14ac:dyDescent="0.55000000000000004">
      <c r="A2339" s="9" t="str">
        <f>HYPERLINK("PDF\FOIA-FWS-2020-00724-0002338.pdf","FOIA-FWS-2020-00724-0002338")</f>
        <v>FOIA-FWS-2020-00724-0002338</v>
      </c>
      <c r="B2339" s="3" t="s">
        <v>4065</v>
      </c>
      <c r="C2339" s="3" t="s">
        <v>234</v>
      </c>
      <c r="D2339" s="3" t="s">
        <v>160</v>
      </c>
      <c r="E2339" s="3" t="s">
        <v>4073</v>
      </c>
      <c r="F2339" s="4">
        <v>43734.675694444442</v>
      </c>
      <c r="G2339" s="3"/>
      <c r="H2339" s="3"/>
      <c r="I2339" s="3" t="s">
        <v>7043</v>
      </c>
      <c r="J2339" s="3"/>
      <c r="K2339" s="3"/>
      <c r="L2339" s="5" t="str">
        <f>HYPERLINK("NATIVE_FILES\FOIA-FWS-2020-00724-0002338.shx","FOIA-FWS-2020-00724-0002338.shx")</f>
        <v>FOIA-FWS-2020-00724-0002338.shx</v>
      </c>
    </row>
    <row r="2340" spans="1:12" ht="28.8" x14ac:dyDescent="0.55000000000000004">
      <c r="A2340" s="9" t="str">
        <f>HYPERLINK("PDF\FOIA-FWS-2020-00724-0002339.pdf","FOIA-FWS-2020-00724-0002339")</f>
        <v>FOIA-FWS-2020-00724-0002339</v>
      </c>
      <c r="B2340" s="3" t="s">
        <v>4074</v>
      </c>
      <c r="C2340" s="3" t="s">
        <v>3</v>
      </c>
      <c r="D2340" s="3" t="s">
        <v>33</v>
      </c>
      <c r="E2340" s="3" t="s">
        <v>4066</v>
      </c>
      <c r="F2340" s="4">
        <v>43734.729166666664</v>
      </c>
      <c r="G2340" s="3" t="s">
        <v>2925</v>
      </c>
      <c r="H2340" s="3" t="s">
        <v>919</v>
      </c>
      <c r="I2340" s="3" t="s">
        <v>7043</v>
      </c>
      <c r="J2340" s="3"/>
      <c r="K2340" s="3"/>
      <c r="L2340" s="5"/>
    </row>
    <row r="2341" spans="1:12" ht="28.8" x14ac:dyDescent="0.55000000000000004">
      <c r="A2341" s="9" t="str">
        <f>HYPERLINK("PDF\FOIA-FWS-2020-00724-0002340.pdf","FOIA-FWS-2020-00724-0002340")</f>
        <v>FOIA-FWS-2020-00724-0002340</v>
      </c>
      <c r="B2341" s="3" t="s">
        <v>4075</v>
      </c>
      <c r="C2341" s="3" t="s">
        <v>3</v>
      </c>
      <c r="D2341" s="3" t="s">
        <v>33</v>
      </c>
      <c r="E2341" s="3" t="s">
        <v>4076</v>
      </c>
      <c r="F2341" s="4">
        <v>43738.611805555556</v>
      </c>
      <c r="G2341" s="3" t="s">
        <v>1874</v>
      </c>
      <c r="H2341" s="3" t="s">
        <v>1516</v>
      </c>
      <c r="I2341" s="3" t="s">
        <v>7043</v>
      </c>
      <c r="J2341" s="3"/>
      <c r="K2341" s="3"/>
      <c r="L2341" s="5"/>
    </row>
    <row r="2342" spans="1:12" ht="28.8" x14ac:dyDescent="0.55000000000000004">
      <c r="A2342" s="9" t="str">
        <f>HYPERLINK("PDF\FOIA-FWS-2020-00724-0002341.pdf","FOIA-FWS-2020-00724-0002341")</f>
        <v>FOIA-FWS-2020-00724-0002341</v>
      </c>
      <c r="B2342" s="3" t="s">
        <v>4077</v>
      </c>
      <c r="C2342" s="3" t="s">
        <v>3</v>
      </c>
      <c r="D2342" s="3" t="s">
        <v>33</v>
      </c>
      <c r="E2342" s="3" t="s">
        <v>4078</v>
      </c>
      <c r="F2342" s="4">
        <v>43738.838888888888</v>
      </c>
      <c r="G2342" s="3" t="s">
        <v>872</v>
      </c>
      <c r="H2342" s="3" t="s">
        <v>2543</v>
      </c>
      <c r="I2342" s="3" t="s">
        <v>7043</v>
      </c>
      <c r="J2342" s="3"/>
      <c r="K2342" s="3"/>
      <c r="L2342" s="5"/>
    </row>
    <row r="2343" spans="1:12" ht="28.8" x14ac:dyDescent="0.55000000000000004">
      <c r="A2343" s="9" t="str">
        <f>HYPERLINK("PDF\FOIA-FWS-2020-00724-0002342.pdf","FOIA-FWS-2020-00724-0002342")</f>
        <v>FOIA-FWS-2020-00724-0002342</v>
      </c>
      <c r="B2343" s="3" t="s">
        <v>4077</v>
      </c>
      <c r="C2343" s="3" t="s">
        <v>234</v>
      </c>
      <c r="D2343" s="3" t="s">
        <v>33</v>
      </c>
      <c r="E2343" s="3" t="s">
        <v>4079</v>
      </c>
      <c r="F2343" s="4">
        <v>43738.838888888888</v>
      </c>
      <c r="G2343" s="3"/>
      <c r="H2343" s="3"/>
      <c r="I2343" s="3" t="s">
        <v>7043</v>
      </c>
      <c r="J2343" s="3"/>
      <c r="K2343" s="3"/>
      <c r="L2343" s="5"/>
    </row>
    <row r="2344" spans="1:12" ht="28.8" x14ac:dyDescent="0.55000000000000004">
      <c r="A2344" s="9" t="str">
        <f>HYPERLINK("PDF\FOIA-FWS-2020-00724-0002343.pdf","FOIA-FWS-2020-00724-0002343")</f>
        <v>FOIA-FWS-2020-00724-0002343</v>
      </c>
      <c r="B2344" s="3" t="s">
        <v>4077</v>
      </c>
      <c r="C2344" s="3" t="s">
        <v>234</v>
      </c>
      <c r="D2344" s="3" t="s">
        <v>33</v>
      </c>
      <c r="E2344" s="3" t="s">
        <v>4080</v>
      </c>
      <c r="F2344" s="4">
        <v>43738.838888888888</v>
      </c>
      <c r="G2344" s="3"/>
      <c r="H2344" s="3"/>
      <c r="I2344" s="3" t="s">
        <v>7043</v>
      </c>
      <c r="J2344" s="3"/>
      <c r="K2344" s="3"/>
      <c r="L2344" s="5"/>
    </row>
    <row r="2345" spans="1:12" ht="28.8" x14ac:dyDescent="0.55000000000000004">
      <c r="A2345" s="9" t="str">
        <f>HYPERLINK("PDF\FOIA-FWS-2020-00724-0002344.pdf","FOIA-FWS-2020-00724-0002344")</f>
        <v>FOIA-FWS-2020-00724-0002344</v>
      </c>
      <c r="B2345" s="3" t="s">
        <v>4077</v>
      </c>
      <c r="C2345" s="3" t="s">
        <v>234</v>
      </c>
      <c r="D2345" s="3" t="s">
        <v>33</v>
      </c>
      <c r="E2345" s="3" t="s">
        <v>4081</v>
      </c>
      <c r="F2345" s="4">
        <v>43738.838888888888</v>
      </c>
      <c r="G2345" s="3"/>
      <c r="H2345" s="3"/>
      <c r="I2345" s="3" t="s">
        <v>7043</v>
      </c>
      <c r="J2345" s="3"/>
      <c r="K2345" s="3"/>
      <c r="L2345" s="5"/>
    </row>
    <row r="2346" spans="1:12" ht="28.8" x14ac:dyDescent="0.55000000000000004">
      <c r="A2346" s="9" t="str">
        <f>HYPERLINK("PDF\FOIA-FWS-2020-00724-0002345.pdf","FOIA-FWS-2020-00724-0002345")</f>
        <v>FOIA-FWS-2020-00724-0002345</v>
      </c>
      <c r="B2346" s="3" t="s">
        <v>4077</v>
      </c>
      <c r="C2346" s="3" t="s">
        <v>234</v>
      </c>
      <c r="D2346" s="3" t="s">
        <v>33</v>
      </c>
      <c r="E2346" s="3" t="s">
        <v>4082</v>
      </c>
      <c r="F2346" s="4">
        <v>43738.838888888888</v>
      </c>
      <c r="G2346" s="3"/>
      <c r="H2346" s="3"/>
      <c r="I2346" s="3" t="s">
        <v>7043</v>
      </c>
      <c r="J2346" s="3"/>
      <c r="K2346" s="3"/>
      <c r="L2346" s="5"/>
    </row>
    <row r="2347" spans="1:12" ht="28.8" x14ac:dyDescent="0.55000000000000004">
      <c r="A2347" s="9" t="str">
        <f>HYPERLINK("PDF\FOIA-FWS-2020-00724-0002346.pdf","FOIA-FWS-2020-00724-0002346")</f>
        <v>FOIA-FWS-2020-00724-0002346</v>
      </c>
      <c r="B2347" s="3" t="s">
        <v>4077</v>
      </c>
      <c r="C2347" s="3" t="s">
        <v>234</v>
      </c>
      <c r="D2347" s="3" t="s">
        <v>33</v>
      </c>
      <c r="E2347" s="3" t="s">
        <v>4083</v>
      </c>
      <c r="F2347" s="4">
        <v>43738.838888888888</v>
      </c>
      <c r="G2347" s="3"/>
      <c r="H2347" s="3"/>
      <c r="I2347" s="3" t="s">
        <v>7043</v>
      </c>
      <c r="J2347" s="3"/>
      <c r="K2347" s="3"/>
      <c r="L2347" s="5"/>
    </row>
    <row r="2348" spans="1:12" ht="28.8" x14ac:dyDescent="0.55000000000000004">
      <c r="A2348" s="9" t="str">
        <f>HYPERLINK("PDF\FOIA-FWS-2020-00724-0002347.pdf","FOIA-FWS-2020-00724-0002347")</f>
        <v>FOIA-FWS-2020-00724-0002347</v>
      </c>
      <c r="B2348" s="3" t="s">
        <v>4084</v>
      </c>
      <c r="C2348" s="3" t="s">
        <v>3</v>
      </c>
      <c r="D2348" s="3" t="s">
        <v>33</v>
      </c>
      <c r="E2348" s="3" t="s">
        <v>4085</v>
      </c>
      <c r="F2348" s="4">
        <v>43739</v>
      </c>
      <c r="G2348" s="3"/>
      <c r="H2348" s="3"/>
      <c r="I2348" s="3" t="s">
        <v>7043</v>
      </c>
      <c r="J2348" s="3"/>
      <c r="K2348" s="3"/>
      <c r="L2348" s="5"/>
    </row>
    <row r="2349" spans="1:12" ht="43.2" x14ac:dyDescent="0.55000000000000004">
      <c r="A2349" s="9" t="str">
        <f>HYPERLINK("PDF\FOIA-FWS-2020-00724-0002348.pdf","FOIA-FWS-2020-00724-0002348")</f>
        <v>FOIA-FWS-2020-00724-0002348</v>
      </c>
      <c r="B2349" s="3" t="s">
        <v>4086</v>
      </c>
      <c r="C2349" s="3" t="s">
        <v>3</v>
      </c>
      <c r="D2349" s="3" t="s">
        <v>33</v>
      </c>
      <c r="E2349" s="3" t="s">
        <v>4087</v>
      </c>
      <c r="F2349" s="4">
        <v>43739.759722222225</v>
      </c>
      <c r="G2349" s="3" t="s">
        <v>955</v>
      </c>
      <c r="H2349" s="3" t="s">
        <v>963</v>
      </c>
      <c r="I2349" s="3" t="s">
        <v>7043</v>
      </c>
      <c r="J2349" s="3"/>
      <c r="K2349" s="3"/>
      <c r="L2349" s="5"/>
    </row>
    <row r="2350" spans="1:12" ht="28.8" x14ac:dyDescent="0.55000000000000004">
      <c r="A2350" s="9" t="str">
        <f>HYPERLINK("PDF\FOIA-FWS-2020-00724-0002349.pdf","FOIA-FWS-2020-00724-0002349")</f>
        <v>FOIA-FWS-2020-00724-0002349</v>
      </c>
      <c r="B2350" s="3" t="s">
        <v>4088</v>
      </c>
      <c r="C2350" s="3" t="s">
        <v>3</v>
      </c>
      <c r="D2350" s="3" t="s">
        <v>33</v>
      </c>
      <c r="E2350" s="3" t="s">
        <v>4089</v>
      </c>
      <c r="F2350" s="4">
        <v>43739.830555555556</v>
      </c>
      <c r="G2350" s="3" t="s">
        <v>1392</v>
      </c>
      <c r="H2350" s="3" t="s">
        <v>963</v>
      </c>
      <c r="I2350" s="3" t="s">
        <v>7043</v>
      </c>
      <c r="J2350" s="3"/>
      <c r="K2350" s="3"/>
      <c r="L2350" s="5"/>
    </row>
    <row r="2351" spans="1:12" ht="28.8" x14ac:dyDescent="0.55000000000000004">
      <c r="A2351" s="9" t="str">
        <f>HYPERLINK("PDF\FOIA-FWS-2020-00724-0002350.pdf","FOIA-FWS-2020-00724-0002350")</f>
        <v>FOIA-FWS-2020-00724-0002350</v>
      </c>
      <c r="B2351" s="3" t="s">
        <v>4088</v>
      </c>
      <c r="C2351" s="3" t="s">
        <v>234</v>
      </c>
      <c r="D2351" s="3" t="s">
        <v>33</v>
      </c>
      <c r="E2351" s="3" t="s">
        <v>4090</v>
      </c>
      <c r="F2351" s="4">
        <v>43739.830555555556</v>
      </c>
      <c r="G2351" s="3"/>
      <c r="H2351" s="3"/>
      <c r="I2351" s="3" t="s">
        <v>7043</v>
      </c>
      <c r="J2351" s="3"/>
      <c r="K2351" s="3"/>
      <c r="L2351" s="5"/>
    </row>
    <row r="2352" spans="1:12" ht="28.8" x14ac:dyDescent="0.55000000000000004">
      <c r="A2352" s="9" t="str">
        <f>HYPERLINK("PDF\FOIA-FWS-2020-00724-0002351.pdf","FOIA-FWS-2020-00724-0002351")</f>
        <v>FOIA-FWS-2020-00724-0002351</v>
      </c>
      <c r="B2352" s="3" t="s">
        <v>4088</v>
      </c>
      <c r="C2352" s="3" t="s">
        <v>234</v>
      </c>
      <c r="D2352" s="3" t="s">
        <v>33</v>
      </c>
      <c r="E2352" s="3" t="s">
        <v>4091</v>
      </c>
      <c r="F2352" s="4">
        <v>43739.830555555556</v>
      </c>
      <c r="G2352" s="3"/>
      <c r="H2352" s="3"/>
      <c r="I2352" s="3" t="s">
        <v>7043</v>
      </c>
      <c r="J2352" s="3"/>
      <c r="K2352" s="3"/>
      <c r="L2352" s="5"/>
    </row>
    <row r="2353" spans="1:12" ht="28.8" x14ac:dyDescent="0.55000000000000004">
      <c r="A2353" s="9" t="str">
        <f>HYPERLINK("PDF\FOIA-FWS-2020-00724-0002352.pdf","FOIA-FWS-2020-00724-0002352")</f>
        <v>FOIA-FWS-2020-00724-0002352</v>
      </c>
      <c r="B2353" s="3" t="s">
        <v>4088</v>
      </c>
      <c r="C2353" s="3" t="s">
        <v>234</v>
      </c>
      <c r="D2353" s="3" t="s">
        <v>33</v>
      </c>
      <c r="E2353" s="3" t="s">
        <v>4092</v>
      </c>
      <c r="F2353" s="4">
        <v>43739.830555555556</v>
      </c>
      <c r="G2353" s="3"/>
      <c r="H2353" s="3"/>
      <c r="I2353" s="3" t="s">
        <v>7043</v>
      </c>
      <c r="J2353" s="3"/>
      <c r="K2353" s="3"/>
      <c r="L2353" s="5"/>
    </row>
    <row r="2354" spans="1:12" ht="28.8" x14ac:dyDescent="0.55000000000000004">
      <c r="A2354" s="9" t="str">
        <f>HYPERLINK("PDF\FOIA-FWS-2020-00724-0002353.pdf","FOIA-FWS-2020-00724-0002353")</f>
        <v>FOIA-FWS-2020-00724-0002353</v>
      </c>
      <c r="B2354" s="3" t="s">
        <v>4093</v>
      </c>
      <c r="C2354" s="3" t="s">
        <v>3</v>
      </c>
      <c r="D2354" s="3" t="s">
        <v>160</v>
      </c>
      <c r="E2354" s="3" t="s">
        <v>4094</v>
      </c>
      <c r="F2354" s="4">
        <v>43740</v>
      </c>
      <c r="G2354" s="3"/>
      <c r="H2354" s="3"/>
      <c r="I2354" s="3" t="s">
        <v>7043</v>
      </c>
      <c r="J2354" s="3"/>
      <c r="K2354" s="3"/>
      <c r="L2354" s="5"/>
    </row>
    <row r="2355" spans="1:12" ht="28.8" x14ac:dyDescent="0.55000000000000004">
      <c r="A2355" s="9" t="str">
        <f>HYPERLINK("PDF\FOIA-FWS-2020-00724-0002354.pdf","FOIA-FWS-2020-00724-0002354")</f>
        <v>FOIA-FWS-2020-00724-0002354</v>
      </c>
      <c r="B2355" s="3" t="s">
        <v>4095</v>
      </c>
      <c r="C2355" s="3" t="s">
        <v>3</v>
      </c>
      <c r="D2355" s="3" t="s">
        <v>160</v>
      </c>
      <c r="E2355" s="3" t="s">
        <v>4096</v>
      </c>
      <c r="F2355" s="4">
        <v>43740</v>
      </c>
      <c r="G2355" s="3"/>
      <c r="H2355" s="3"/>
      <c r="I2355" s="3" t="s">
        <v>7043</v>
      </c>
      <c r="J2355" s="3"/>
      <c r="K2355" s="3"/>
      <c r="L2355" s="5"/>
    </row>
    <row r="2356" spans="1:12" ht="28.8" x14ac:dyDescent="0.55000000000000004">
      <c r="A2356" s="9" t="str">
        <f>HYPERLINK("PDF\FOIA-FWS-2020-00724-0002355.pdf","FOIA-FWS-2020-00724-0002355")</f>
        <v>FOIA-FWS-2020-00724-0002355</v>
      </c>
      <c r="B2356" s="3" t="s">
        <v>4097</v>
      </c>
      <c r="C2356" s="3" t="s">
        <v>3</v>
      </c>
      <c r="D2356" s="3" t="s">
        <v>160</v>
      </c>
      <c r="E2356" s="3" t="s">
        <v>4098</v>
      </c>
      <c r="F2356" s="4">
        <v>43740</v>
      </c>
      <c r="G2356" s="3"/>
      <c r="H2356" s="3"/>
      <c r="I2356" s="3" t="s">
        <v>7043</v>
      </c>
      <c r="J2356" s="3"/>
      <c r="K2356" s="3"/>
      <c r="L2356" s="5"/>
    </row>
    <row r="2357" spans="1:12" ht="28.8" x14ac:dyDescent="0.55000000000000004">
      <c r="A2357" s="9" t="str">
        <f>HYPERLINK("PDF\FOIA-FWS-2020-00724-0002356.pdf","FOIA-FWS-2020-00724-0002356")</f>
        <v>FOIA-FWS-2020-00724-0002356</v>
      </c>
      <c r="B2357" s="3" t="s">
        <v>4099</v>
      </c>
      <c r="C2357" s="3" t="s">
        <v>3</v>
      </c>
      <c r="D2357" s="3" t="s">
        <v>33</v>
      </c>
      <c r="E2357" s="3" t="s">
        <v>4100</v>
      </c>
      <c r="F2357" s="4">
        <v>43740</v>
      </c>
      <c r="G2357" s="3"/>
      <c r="H2357" s="3"/>
      <c r="I2357" s="3" t="s">
        <v>7043</v>
      </c>
      <c r="J2357" s="3"/>
      <c r="K2357" s="3"/>
      <c r="L2357" s="5"/>
    </row>
    <row r="2358" spans="1:12" ht="28.8" x14ac:dyDescent="0.55000000000000004">
      <c r="A2358" s="9" t="str">
        <f>HYPERLINK("PDF\FOIA-FWS-2020-00724-0002357.pdf","FOIA-FWS-2020-00724-0002357")</f>
        <v>FOIA-FWS-2020-00724-0002357</v>
      </c>
      <c r="B2358" s="3" t="s">
        <v>4101</v>
      </c>
      <c r="C2358" s="3" t="s">
        <v>3</v>
      </c>
      <c r="D2358" s="3" t="s">
        <v>33</v>
      </c>
      <c r="E2358" s="3" t="s">
        <v>4089</v>
      </c>
      <c r="F2358" s="4">
        <v>43740.813888888886</v>
      </c>
      <c r="G2358" s="3" t="s">
        <v>1392</v>
      </c>
      <c r="H2358" s="3" t="s">
        <v>963</v>
      </c>
      <c r="I2358" s="3" t="s">
        <v>7043</v>
      </c>
      <c r="J2358" s="3"/>
      <c r="K2358" s="3"/>
      <c r="L2358" s="5"/>
    </row>
    <row r="2359" spans="1:12" ht="28.8" x14ac:dyDescent="0.55000000000000004">
      <c r="A2359" s="9" t="str">
        <f>HYPERLINK("PDF\FOIA-FWS-2020-00724-0002358.pdf","FOIA-FWS-2020-00724-0002358")</f>
        <v>FOIA-FWS-2020-00724-0002358</v>
      </c>
      <c r="B2359" s="3" t="s">
        <v>4101</v>
      </c>
      <c r="C2359" s="3" t="s">
        <v>234</v>
      </c>
      <c r="D2359" s="3" t="s">
        <v>33</v>
      </c>
      <c r="E2359" s="3" t="s">
        <v>4102</v>
      </c>
      <c r="F2359" s="4">
        <v>43740.813888888886</v>
      </c>
      <c r="G2359" s="3"/>
      <c r="H2359" s="3"/>
      <c r="I2359" s="3" t="s">
        <v>7043</v>
      </c>
      <c r="J2359" s="3"/>
      <c r="K2359" s="3"/>
      <c r="L2359" s="5"/>
    </row>
    <row r="2360" spans="1:12" ht="28.8" x14ac:dyDescent="0.55000000000000004">
      <c r="A2360" s="9" t="str">
        <f>HYPERLINK("PDF\FOIA-FWS-2020-00724-0002359.pdf","FOIA-FWS-2020-00724-0002359")</f>
        <v>FOIA-FWS-2020-00724-0002359</v>
      </c>
      <c r="B2360" s="3" t="s">
        <v>4103</v>
      </c>
      <c r="C2360" s="3" t="s">
        <v>3</v>
      </c>
      <c r="D2360" s="3" t="s">
        <v>33</v>
      </c>
      <c r="E2360" s="3" t="s">
        <v>4104</v>
      </c>
      <c r="F2360" s="4">
        <v>43741</v>
      </c>
      <c r="G2360" s="3"/>
      <c r="H2360" s="3"/>
      <c r="I2360" s="3" t="s">
        <v>7043</v>
      </c>
      <c r="J2360" s="3"/>
      <c r="K2360" s="3"/>
      <c r="L2360" s="5"/>
    </row>
    <row r="2361" spans="1:12" ht="28.8" x14ac:dyDescent="0.55000000000000004">
      <c r="A2361" s="9" t="str">
        <f>HYPERLINK("PDF\FOIA-FWS-2020-00724-0002360.pdf","FOIA-FWS-2020-00724-0002360")</f>
        <v>FOIA-FWS-2020-00724-0002360</v>
      </c>
      <c r="B2361" s="3" t="s">
        <v>4105</v>
      </c>
      <c r="C2361" s="3" t="s">
        <v>3</v>
      </c>
      <c r="D2361" s="3" t="s">
        <v>33</v>
      </c>
      <c r="E2361" s="3" t="s">
        <v>4106</v>
      </c>
      <c r="F2361" s="4">
        <v>43741</v>
      </c>
      <c r="G2361" s="3"/>
      <c r="H2361" s="3"/>
      <c r="I2361" s="3" t="s">
        <v>7043</v>
      </c>
      <c r="J2361" s="3"/>
      <c r="K2361" s="3"/>
      <c r="L2361" s="5"/>
    </row>
    <row r="2362" spans="1:12" ht="28.8" x14ac:dyDescent="0.55000000000000004">
      <c r="A2362" s="9" t="str">
        <f>HYPERLINK("PDF\FOIA-FWS-2020-00724-0002361.pdf","FOIA-FWS-2020-00724-0002361")</f>
        <v>FOIA-FWS-2020-00724-0002361</v>
      </c>
      <c r="B2362" s="3" t="s">
        <v>4107</v>
      </c>
      <c r="C2362" s="3" t="s">
        <v>3</v>
      </c>
      <c r="D2362" s="3" t="s">
        <v>33</v>
      </c>
      <c r="E2362" s="3" t="s">
        <v>4109</v>
      </c>
      <c r="F2362" s="4">
        <v>43741.609722222223</v>
      </c>
      <c r="G2362" s="3" t="s">
        <v>4108</v>
      </c>
      <c r="H2362" s="3" t="s">
        <v>872</v>
      </c>
      <c r="I2362" s="3" t="s">
        <v>7043</v>
      </c>
      <c r="J2362" s="3"/>
      <c r="K2362" s="3"/>
      <c r="L2362" s="5"/>
    </row>
    <row r="2363" spans="1:12" ht="28.8" x14ac:dyDescent="0.55000000000000004">
      <c r="A2363" s="9" t="str">
        <f>HYPERLINK("PDF\FOIA-FWS-2020-00724-0002362.pdf","FOIA-FWS-2020-00724-0002362")</f>
        <v>FOIA-FWS-2020-00724-0002362</v>
      </c>
      <c r="B2363" s="3" t="s">
        <v>4110</v>
      </c>
      <c r="C2363" s="3" t="s">
        <v>3</v>
      </c>
      <c r="D2363" s="3" t="s">
        <v>33</v>
      </c>
      <c r="E2363" s="3" t="s">
        <v>4089</v>
      </c>
      <c r="F2363" s="4">
        <v>43741.73541666667</v>
      </c>
      <c r="G2363" s="3" t="s">
        <v>1392</v>
      </c>
      <c r="H2363" s="3" t="s">
        <v>955</v>
      </c>
      <c r="I2363" s="3" t="s">
        <v>7043</v>
      </c>
      <c r="J2363" s="3"/>
      <c r="K2363" s="3"/>
      <c r="L2363" s="5"/>
    </row>
    <row r="2364" spans="1:12" ht="28.8" x14ac:dyDescent="0.55000000000000004">
      <c r="A2364" s="9" t="str">
        <f>HYPERLINK("PDF\FOIA-FWS-2020-00724-0002363.pdf","FOIA-FWS-2020-00724-0002363")</f>
        <v>FOIA-FWS-2020-00724-0002363</v>
      </c>
      <c r="B2364" s="3" t="s">
        <v>4111</v>
      </c>
      <c r="C2364" s="3" t="s">
        <v>3</v>
      </c>
      <c r="D2364" s="3" t="s">
        <v>33</v>
      </c>
      <c r="E2364" s="3" t="s">
        <v>4113</v>
      </c>
      <c r="F2364" s="4">
        <v>43742.647222222222</v>
      </c>
      <c r="G2364" s="3" t="s">
        <v>1119</v>
      </c>
      <c r="H2364" s="3" t="s">
        <v>4112</v>
      </c>
      <c r="I2364" s="3" t="s">
        <v>7043</v>
      </c>
      <c r="J2364" s="3"/>
      <c r="K2364" s="3"/>
      <c r="L2364" s="5"/>
    </row>
    <row r="2365" spans="1:12" ht="28.8" x14ac:dyDescent="0.55000000000000004">
      <c r="A2365" s="9" t="str">
        <f>HYPERLINK("PDF\FOIA-FWS-2020-00724-0002364.pdf","FOIA-FWS-2020-00724-0002364")</f>
        <v>FOIA-FWS-2020-00724-0002364</v>
      </c>
      <c r="B2365" s="3" t="s">
        <v>4111</v>
      </c>
      <c r="C2365" s="3" t="s">
        <v>234</v>
      </c>
      <c r="D2365" s="3" t="s">
        <v>33</v>
      </c>
      <c r="E2365" s="3" t="s">
        <v>4114</v>
      </c>
      <c r="F2365" s="4">
        <v>43742.647222222222</v>
      </c>
      <c r="G2365" s="3"/>
      <c r="H2365" s="3"/>
      <c r="I2365" s="3" t="s">
        <v>7043</v>
      </c>
      <c r="J2365" s="3"/>
      <c r="K2365" s="3"/>
      <c r="L2365" s="5"/>
    </row>
    <row r="2366" spans="1:12" ht="28.8" x14ac:dyDescent="0.55000000000000004">
      <c r="A2366" s="9" t="str">
        <f>HYPERLINK("PDF\FOIA-FWS-2020-00724-0002365.pdf","FOIA-FWS-2020-00724-0002365")</f>
        <v>FOIA-FWS-2020-00724-0002365</v>
      </c>
      <c r="B2366" s="3" t="s">
        <v>4115</v>
      </c>
      <c r="C2366" s="3" t="s">
        <v>3</v>
      </c>
      <c r="D2366" s="3" t="s">
        <v>160</v>
      </c>
      <c r="E2366" s="3" t="s">
        <v>4116</v>
      </c>
      <c r="F2366" s="4">
        <v>43745</v>
      </c>
      <c r="G2366" s="3"/>
      <c r="H2366" s="3"/>
      <c r="I2366" s="3" t="s">
        <v>7043</v>
      </c>
      <c r="J2366" s="3"/>
      <c r="K2366" s="3"/>
      <c r="L2366" s="5"/>
    </row>
    <row r="2367" spans="1:12" ht="28.8" x14ac:dyDescent="0.55000000000000004">
      <c r="A2367" s="9" t="str">
        <f>HYPERLINK("PDF\FOIA-FWS-2020-00724-0002366.pdf","FOIA-FWS-2020-00724-0002366")</f>
        <v>FOIA-FWS-2020-00724-0002366</v>
      </c>
      <c r="B2367" s="3" t="s">
        <v>4117</v>
      </c>
      <c r="C2367" s="3" t="s">
        <v>3</v>
      </c>
      <c r="D2367" s="3" t="s">
        <v>160</v>
      </c>
      <c r="E2367" s="3" t="s">
        <v>4118</v>
      </c>
      <c r="F2367" s="4">
        <v>43745</v>
      </c>
      <c r="G2367" s="3"/>
      <c r="H2367" s="3"/>
      <c r="I2367" s="3" t="s">
        <v>7043</v>
      </c>
      <c r="J2367" s="3"/>
      <c r="K2367" s="3"/>
      <c r="L2367" s="5"/>
    </row>
    <row r="2368" spans="1:12" ht="28.8" x14ac:dyDescent="0.55000000000000004">
      <c r="A2368" s="9" t="str">
        <f>HYPERLINK("PDF\FOIA-FWS-2020-00724-0002367.pdf","FOIA-FWS-2020-00724-0002367")</f>
        <v>FOIA-FWS-2020-00724-0002367</v>
      </c>
      <c r="B2368" s="3" t="s">
        <v>4119</v>
      </c>
      <c r="C2368" s="3" t="s">
        <v>3</v>
      </c>
      <c r="D2368" s="3" t="s">
        <v>160</v>
      </c>
      <c r="E2368" s="3" t="s">
        <v>4120</v>
      </c>
      <c r="F2368" s="4">
        <v>43745</v>
      </c>
      <c r="G2368" s="3"/>
      <c r="H2368" s="3"/>
      <c r="I2368" s="3" t="s">
        <v>7043</v>
      </c>
      <c r="J2368" s="3"/>
      <c r="K2368" s="3"/>
      <c r="L2368" s="5"/>
    </row>
    <row r="2369" spans="1:12" ht="28.8" x14ac:dyDescent="0.55000000000000004">
      <c r="A2369" s="9" t="str">
        <f>HYPERLINK("PDF\FOIA-FWS-2020-00724-0002368.pdf","FOIA-FWS-2020-00724-0002368")</f>
        <v>FOIA-FWS-2020-00724-0002368</v>
      </c>
      <c r="B2369" s="3" t="s">
        <v>4121</v>
      </c>
      <c r="C2369" s="3" t="s">
        <v>3</v>
      </c>
      <c r="D2369" s="3" t="s">
        <v>160</v>
      </c>
      <c r="E2369" s="3" t="s">
        <v>4122</v>
      </c>
      <c r="F2369" s="4">
        <v>43745</v>
      </c>
      <c r="G2369" s="3"/>
      <c r="H2369" s="3"/>
      <c r="I2369" s="3" t="s">
        <v>7043</v>
      </c>
      <c r="J2369" s="3"/>
      <c r="K2369" s="3"/>
      <c r="L2369" s="5"/>
    </row>
    <row r="2370" spans="1:12" ht="28.8" x14ac:dyDescent="0.55000000000000004">
      <c r="A2370" s="9" t="str">
        <f>HYPERLINK("PDF\FOIA-FWS-2020-00724-0002369.pdf","FOIA-FWS-2020-00724-0002369")</f>
        <v>FOIA-FWS-2020-00724-0002369</v>
      </c>
      <c r="B2370" s="3" t="s">
        <v>4123</v>
      </c>
      <c r="C2370" s="3" t="s">
        <v>3</v>
      </c>
      <c r="D2370" s="3" t="s">
        <v>160</v>
      </c>
      <c r="E2370" s="3" t="s">
        <v>4124</v>
      </c>
      <c r="F2370" s="4">
        <v>43745</v>
      </c>
      <c r="G2370" s="3"/>
      <c r="H2370" s="3"/>
      <c r="I2370" s="3" t="s">
        <v>7043</v>
      </c>
      <c r="J2370" s="3"/>
      <c r="K2370" s="3"/>
      <c r="L2370" s="5"/>
    </row>
    <row r="2371" spans="1:12" ht="28.8" x14ac:dyDescent="0.55000000000000004">
      <c r="A2371" s="9" t="str">
        <f>HYPERLINK("PDF\FOIA-FWS-2020-00724-0002370.pdf","FOIA-FWS-2020-00724-0002370")</f>
        <v>FOIA-FWS-2020-00724-0002370</v>
      </c>
      <c r="B2371" s="3" t="s">
        <v>4125</v>
      </c>
      <c r="C2371" s="3" t="s">
        <v>3</v>
      </c>
      <c r="D2371" s="3" t="s">
        <v>160</v>
      </c>
      <c r="E2371" s="3" t="s">
        <v>4126</v>
      </c>
      <c r="F2371" s="4">
        <v>43745</v>
      </c>
      <c r="G2371" s="3"/>
      <c r="H2371" s="3"/>
      <c r="I2371" s="3" t="s">
        <v>7043</v>
      </c>
      <c r="J2371" s="3"/>
      <c r="K2371" s="3"/>
      <c r="L2371" s="5"/>
    </row>
    <row r="2372" spans="1:12" ht="28.8" x14ac:dyDescent="0.55000000000000004">
      <c r="A2372" s="9" t="str">
        <f>HYPERLINK("PDF\FOIA-FWS-2020-00724-0002371.pdf","FOIA-FWS-2020-00724-0002371")</f>
        <v>FOIA-FWS-2020-00724-0002371</v>
      </c>
      <c r="B2372" s="3" t="s">
        <v>4127</v>
      </c>
      <c r="C2372" s="3" t="s">
        <v>3</v>
      </c>
      <c r="D2372" s="3" t="s">
        <v>160</v>
      </c>
      <c r="E2372" s="3" t="s">
        <v>4128</v>
      </c>
      <c r="F2372" s="4">
        <v>43745</v>
      </c>
      <c r="G2372" s="3"/>
      <c r="H2372" s="3"/>
      <c r="I2372" s="3" t="s">
        <v>7043</v>
      </c>
      <c r="J2372" s="3"/>
      <c r="K2372" s="3"/>
      <c r="L2372" s="5"/>
    </row>
    <row r="2373" spans="1:12" ht="28.8" x14ac:dyDescent="0.55000000000000004">
      <c r="A2373" s="9" t="str">
        <f>HYPERLINK("PDF\FOIA-FWS-2020-00724-0002372.pdf","FOIA-FWS-2020-00724-0002372")</f>
        <v>FOIA-FWS-2020-00724-0002372</v>
      </c>
      <c r="B2373" s="3" t="s">
        <v>4129</v>
      </c>
      <c r="C2373" s="3" t="s">
        <v>3</v>
      </c>
      <c r="D2373" s="3" t="s">
        <v>160</v>
      </c>
      <c r="E2373" s="3" t="s">
        <v>4130</v>
      </c>
      <c r="F2373" s="4">
        <v>43745</v>
      </c>
      <c r="G2373" s="3"/>
      <c r="H2373" s="3"/>
      <c r="I2373" s="3" t="s">
        <v>7043</v>
      </c>
      <c r="J2373" s="3"/>
      <c r="K2373" s="3"/>
      <c r="L2373" s="5"/>
    </row>
    <row r="2374" spans="1:12" ht="28.8" x14ac:dyDescent="0.55000000000000004">
      <c r="A2374" s="9" t="str">
        <f>HYPERLINK("PDF\FOIA-FWS-2020-00724-0002373.pdf","FOIA-FWS-2020-00724-0002373")</f>
        <v>FOIA-FWS-2020-00724-0002373</v>
      </c>
      <c r="B2374" s="3" t="s">
        <v>4131</v>
      </c>
      <c r="C2374" s="3" t="s">
        <v>3</v>
      </c>
      <c r="D2374" s="3" t="s">
        <v>160</v>
      </c>
      <c r="E2374" s="3" t="s">
        <v>4132</v>
      </c>
      <c r="F2374" s="4">
        <v>43745</v>
      </c>
      <c r="G2374" s="3"/>
      <c r="H2374" s="3"/>
      <c r="I2374" s="3" t="s">
        <v>7043</v>
      </c>
      <c r="J2374" s="3"/>
      <c r="K2374" s="3"/>
      <c r="L2374" s="5"/>
    </row>
    <row r="2375" spans="1:12" ht="28.8" x14ac:dyDescent="0.55000000000000004">
      <c r="A2375" s="9" t="str">
        <f>HYPERLINK("PDF\FOIA-FWS-2020-00724-0002374.pdf","FOIA-FWS-2020-00724-0002374")</f>
        <v>FOIA-FWS-2020-00724-0002374</v>
      </c>
      <c r="B2375" s="3" t="s">
        <v>4133</v>
      </c>
      <c r="C2375" s="3" t="s">
        <v>3</v>
      </c>
      <c r="D2375" s="3" t="s">
        <v>160</v>
      </c>
      <c r="E2375" s="3" t="s">
        <v>4134</v>
      </c>
      <c r="F2375" s="4">
        <v>43745</v>
      </c>
      <c r="G2375" s="3"/>
      <c r="H2375" s="3"/>
      <c r="I2375" s="3" t="s">
        <v>7043</v>
      </c>
      <c r="J2375" s="3"/>
      <c r="K2375" s="3"/>
      <c r="L2375" s="5"/>
    </row>
    <row r="2376" spans="1:12" ht="28.8" x14ac:dyDescent="0.55000000000000004">
      <c r="A2376" s="9" t="str">
        <f>HYPERLINK("PDF\FOIA-FWS-2020-00724-0002375.pdf","FOIA-FWS-2020-00724-0002375")</f>
        <v>FOIA-FWS-2020-00724-0002375</v>
      </c>
      <c r="B2376" s="3" t="s">
        <v>4135</v>
      </c>
      <c r="C2376" s="3" t="s">
        <v>3</v>
      </c>
      <c r="D2376" s="3" t="s">
        <v>160</v>
      </c>
      <c r="E2376" s="3" t="s">
        <v>4136</v>
      </c>
      <c r="F2376" s="4">
        <v>43745</v>
      </c>
      <c r="G2376" s="3"/>
      <c r="H2376" s="3"/>
      <c r="I2376" s="3" t="s">
        <v>7043</v>
      </c>
      <c r="J2376" s="3"/>
      <c r="K2376" s="3"/>
      <c r="L2376" s="5"/>
    </row>
    <row r="2377" spans="1:12" ht="28.8" x14ac:dyDescent="0.55000000000000004">
      <c r="A2377" s="9" t="str">
        <f>HYPERLINK("PDF\FOIA-FWS-2020-00724-0002376.pdf","FOIA-FWS-2020-00724-0002376")</f>
        <v>FOIA-FWS-2020-00724-0002376</v>
      </c>
      <c r="B2377" s="3" t="s">
        <v>4137</v>
      </c>
      <c r="C2377" s="3" t="s">
        <v>3</v>
      </c>
      <c r="D2377" s="3" t="s">
        <v>160</v>
      </c>
      <c r="E2377" s="3" t="s">
        <v>4138</v>
      </c>
      <c r="F2377" s="4">
        <v>43745</v>
      </c>
      <c r="G2377" s="3"/>
      <c r="H2377" s="3"/>
      <c r="I2377" s="3" t="s">
        <v>7043</v>
      </c>
      <c r="J2377" s="3"/>
      <c r="K2377" s="3"/>
      <c r="L2377" s="5"/>
    </row>
    <row r="2378" spans="1:12" ht="28.8" x14ac:dyDescent="0.55000000000000004">
      <c r="A2378" s="9" t="str">
        <f>HYPERLINK("PDF\FOIA-FWS-2020-00724-0002377.pdf","FOIA-FWS-2020-00724-0002377")</f>
        <v>FOIA-FWS-2020-00724-0002377</v>
      </c>
      <c r="B2378" s="3" t="s">
        <v>4139</v>
      </c>
      <c r="C2378" s="3" t="s">
        <v>3</v>
      </c>
      <c r="D2378" s="3" t="s">
        <v>160</v>
      </c>
      <c r="E2378" s="3" t="s">
        <v>4140</v>
      </c>
      <c r="F2378" s="4">
        <v>43745</v>
      </c>
      <c r="G2378" s="3"/>
      <c r="H2378" s="3"/>
      <c r="I2378" s="3" t="s">
        <v>7043</v>
      </c>
      <c r="J2378" s="3"/>
      <c r="K2378" s="3"/>
      <c r="L2378" s="5"/>
    </row>
    <row r="2379" spans="1:12" ht="28.8" x14ac:dyDescent="0.55000000000000004">
      <c r="A2379" s="9" t="str">
        <f>HYPERLINK("PDF\FOIA-FWS-2020-00724-0002378.pdf","FOIA-FWS-2020-00724-0002378")</f>
        <v>FOIA-FWS-2020-00724-0002378</v>
      </c>
      <c r="B2379" s="3" t="s">
        <v>4141</v>
      </c>
      <c r="C2379" s="3" t="s">
        <v>3</v>
      </c>
      <c r="D2379" s="3" t="s">
        <v>160</v>
      </c>
      <c r="E2379" s="3" t="s">
        <v>4142</v>
      </c>
      <c r="F2379" s="4">
        <v>43745</v>
      </c>
      <c r="G2379" s="3"/>
      <c r="H2379" s="3"/>
      <c r="I2379" s="3" t="s">
        <v>7043</v>
      </c>
      <c r="J2379" s="3"/>
      <c r="K2379" s="3"/>
      <c r="L2379" s="5"/>
    </row>
    <row r="2380" spans="1:12" ht="28.8" x14ac:dyDescent="0.55000000000000004">
      <c r="A2380" s="9" t="str">
        <f>HYPERLINK("PDF\FOIA-FWS-2020-00724-0002379.pdf","FOIA-FWS-2020-00724-0002379")</f>
        <v>FOIA-FWS-2020-00724-0002379</v>
      </c>
      <c r="B2380" s="3" t="s">
        <v>4143</v>
      </c>
      <c r="C2380" s="3" t="s">
        <v>3</v>
      </c>
      <c r="D2380" s="3" t="s">
        <v>160</v>
      </c>
      <c r="E2380" s="3" t="s">
        <v>4144</v>
      </c>
      <c r="F2380" s="4">
        <v>43745</v>
      </c>
      <c r="G2380" s="3"/>
      <c r="H2380" s="3"/>
      <c r="I2380" s="3" t="s">
        <v>7043</v>
      </c>
      <c r="J2380" s="3"/>
      <c r="K2380" s="3"/>
      <c r="L2380" s="5"/>
    </row>
    <row r="2381" spans="1:12" ht="28.8" x14ac:dyDescent="0.55000000000000004">
      <c r="A2381" s="9" t="str">
        <f>HYPERLINK("PDF\FOIA-FWS-2020-00724-0002380.pdf","FOIA-FWS-2020-00724-0002380")</f>
        <v>FOIA-FWS-2020-00724-0002380</v>
      </c>
      <c r="B2381" s="3" t="s">
        <v>4145</v>
      </c>
      <c r="C2381" s="3" t="s">
        <v>3</v>
      </c>
      <c r="D2381" s="3" t="s">
        <v>160</v>
      </c>
      <c r="E2381" s="3" t="s">
        <v>4146</v>
      </c>
      <c r="F2381" s="4">
        <v>43745</v>
      </c>
      <c r="G2381" s="3"/>
      <c r="H2381" s="3"/>
      <c r="I2381" s="3" t="s">
        <v>7043</v>
      </c>
      <c r="J2381" s="3"/>
      <c r="K2381" s="3"/>
      <c r="L2381" s="5"/>
    </row>
    <row r="2382" spans="1:12" ht="28.8" x14ac:dyDescent="0.55000000000000004">
      <c r="A2382" s="9" t="str">
        <f>HYPERLINK("PDF\FOIA-FWS-2020-00724-0002381.pdf","FOIA-FWS-2020-00724-0002381")</f>
        <v>FOIA-FWS-2020-00724-0002381</v>
      </c>
      <c r="B2382" s="3" t="s">
        <v>4147</v>
      </c>
      <c r="C2382" s="3" t="s">
        <v>3</v>
      </c>
      <c r="D2382" s="3" t="s">
        <v>160</v>
      </c>
      <c r="E2382" s="3" t="s">
        <v>4148</v>
      </c>
      <c r="F2382" s="4">
        <v>43745</v>
      </c>
      <c r="G2382" s="3"/>
      <c r="H2382" s="3"/>
      <c r="I2382" s="3" t="s">
        <v>7043</v>
      </c>
      <c r="J2382" s="3"/>
      <c r="K2382" s="3"/>
      <c r="L2382" s="5"/>
    </row>
    <row r="2383" spans="1:12" ht="28.8" x14ac:dyDescent="0.55000000000000004">
      <c r="A2383" s="9" t="str">
        <f>HYPERLINK("PDF\FOIA-FWS-2020-00724-0002382.pdf","FOIA-FWS-2020-00724-0002382")</f>
        <v>FOIA-FWS-2020-00724-0002382</v>
      </c>
      <c r="B2383" s="3" t="s">
        <v>4149</v>
      </c>
      <c r="C2383" s="3" t="s">
        <v>3</v>
      </c>
      <c r="D2383" s="3" t="s">
        <v>160</v>
      </c>
      <c r="E2383" s="3" t="s">
        <v>4150</v>
      </c>
      <c r="F2383" s="4">
        <v>43745</v>
      </c>
      <c r="G2383" s="3"/>
      <c r="H2383" s="3"/>
      <c r="I2383" s="3" t="s">
        <v>7043</v>
      </c>
      <c r="J2383" s="3"/>
      <c r="K2383" s="3"/>
      <c r="L2383" s="5"/>
    </row>
    <row r="2384" spans="1:12" ht="28.8" x14ac:dyDescent="0.55000000000000004">
      <c r="A2384" s="9" t="str">
        <f>HYPERLINK("PDF\FOIA-FWS-2020-00724-0002383.pdf","FOIA-FWS-2020-00724-0002383")</f>
        <v>FOIA-FWS-2020-00724-0002383</v>
      </c>
      <c r="B2384" s="3" t="s">
        <v>4151</v>
      </c>
      <c r="C2384" s="3" t="s">
        <v>3</v>
      </c>
      <c r="D2384" s="3" t="s">
        <v>160</v>
      </c>
      <c r="E2384" s="3" t="s">
        <v>4152</v>
      </c>
      <c r="F2384" s="4">
        <v>43745</v>
      </c>
      <c r="G2384" s="3"/>
      <c r="H2384" s="3"/>
      <c r="I2384" s="3" t="s">
        <v>7043</v>
      </c>
      <c r="J2384" s="3"/>
      <c r="K2384" s="3"/>
      <c r="L2384" s="5"/>
    </row>
    <row r="2385" spans="1:12" ht="28.8" x14ac:dyDescent="0.55000000000000004">
      <c r="A2385" s="9" t="str">
        <f>HYPERLINK("PDF\FOIA-FWS-2020-00724-0002384.pdf","FOIA-FWS-2020-00724-0002384")</f>
        <v>FOIA-FWS-2020-00724-0002384</v>
      </c>
      <c r="B2385" s="3" t="s">
        <v>4153</v>
      </c>
      <c r="C2385" s="3" t="s">
        <v>3</v>
      </c>
      <c r="D2385" s="3" t="s">
        <v>160</v>
      </c>
      <c r="E2385" s="3" t="s">
        <v>4154</v>
      </c>
      <c r="F2385" s="4">
        <v>43745</v>
      </c>
      <c r="G2385" s="3"/>
      <c r="H2385" s="3"/>
      <c r="I2385" s="3" t="s">
        <v>7043</v>
      </c>
      <c r="J2385" s="3"/>
      <c r="K2385" s="3"/>
      <c r="L2385" s="5"/>
    </row>
    <row r="2386" spans="1:12" ht="28.8" x14ac:dyDescent="0.55000000000000004">
      <c r="A2386" s="9" t="str">
        <f>HYPERLINK("PDF\FOIA-FWS-2020-00724-0002385.pdf","FOIA-FWS-2020-00724-0002385")</f>
        <v>FOIA-FWS-2020-00724-0002385</v>
      </c>
      <c r="B2386" s="3" t="s">
        <v>4155</v>
      </c>
      <c r="C2386" s="3" t="s">
        <v>3</v>
      </c>
      <c r="D2386" s="3" t="s">
        <v>160</v>
      </c>
      <c r="E2386" s="3" t="s">
        <v>4156</v>
      </c>
      <c r="F2386" s="4">
        <v>43745</v>
      </c>
      <c r="G2386" s="3"/>
      <c r="H2386" s="3"/>
      <c r="I2386" s="3" t="s">
        <v>7043</v>
      </c>
      <c r="J2386" s="3"/>
      <c r="K2386" s="3"/>
      <c r="L2386" s="5"/>
    </row>
    <row r="2387" spans="1:12" ht="28.8" x14ac:dyDescent="0.55000000000000004">
      <c r="A2387" s="9" t="str">
        <f>HYPERLINK("PDF\FOIA-FWS-2020-00724-0002386.pdf","FOIA-FWS-2020-00724-0002386")</f>
        <v>FOIA-FWS-2020-00724-0002386</v>
      </c>
      <c r="B2387" s="3" t="s">
        <v>4157</v>
      </c>
      <c r="C2387" s="3" t="s">
        <v>3</v>
      </c>
      <c r="D2387" s="3" t="s">
        <v>160</v>
      </c>
      <c r="E2387" s="3" t="s">
        <v>4158</v>
      </c>
      <c r="F2387" s="4">
        <v>43745</v>
      </c>
      <c r="G2387" s="3"/>
      <c r="H2387" s="3"/>
      <c r="I2387" s="3" t="s">
        <v>7043</v>
      </c>
      <c r="J2387" s="3"/>
      <c r="K2387" s="3"/>
      <c r="L2387" s="5"/>
    </row>
    <row r="2388" spans="1:12" ht="28.8" x14ac:dyDescent="0.55000000000000004">
      <c r="A2388" s="9" t="str">
        <f>HYPERLINK("PDF\FOIA-FWS-2020-00724-0002387.pdf","FOIA-FWS-2020-00724-0002387")</f>
        <v>FOIA-FWS-2020-00724-0002387</v>
      </c>
      <c r="B2388" s="3" t="s">
        <v>4159</v>
      </c>
      <c r="C2388" s="3" t="s">
        <v>3</v>
      </c>
      <c r="D2388" s="3" t="s">
        <v>160</v>
      </c>
      <c r="E2388" s="3" t="s">
        <v>4160</v>
      </c>
      <c r="F2388" s="4">
        <v>43745</v>
      </c>
      <c r="G2388" s="3"/>
      <c r="H2388" s="3"/>
      <c r="I2388" s="3" t="s">
        <v>7043</v>
      </c>
      <c r="J2388" s="3"/>
      <c r="K2388" s="3"/>
      <c r="L2388" s="5"/>
    </row>
    <row r="2389" spans="1:12" ht="28.8" x14ac:dyDescent="0.55000000000000004">
      <c r="A2389" s="9" t="str">
        <f>HYPERLINK("PDF\FOIA-FWS-2020-00724-0002388.pdf","FOIA-FWS-2020-00724-0002388")</f>
        <v>FOIA-FWS-2020-00724-0002388</v>
      </c>
      <c r="B2389" s="3" t="s">
        <v>4161</v>
      </c>
      <c r="C2389" s="3" t="s">
        <v>3</v>
      </c>
      <c r="D2389" s="3" t="s">
        <v>160</v>
      </c>
      <c r="E2389" s="3" t="s">
        <v>4162</v>
      </c>
      <c r="F2389" s="4">
        <v>43745</v>
      </c>
      <c r="G2389" s="3"/>
      <c r="H2389" s="3"/>
      <c r="I2389" s="3" t="s">
        <v>7043</v>
      </c>
      <c r="J2389" s="3"/>
      <c r="K2389" s="3"/>
      <c r="L2389" s="5"/>
    </row>
    <row r="2390" spans="1:12" ht="28.8" x14ac:dyDescent="0.55000000000000004">
      <c r="A2390" s="9" t="str">
        <f>HYPERLINK("PDF\FOIA-FWS-2020-00724-0002389.pdf","FOIA-FWS-2020-00724-0002389")</f>
        <v>FOIA-FWS-2020-00724-0002389</v>
      </c>
      <c r="B2390" s="3" t="s">
        <v>4163</v>
      </c>
      <c r="C2390" s="3" t="s">
        <v>3</v>
      </c>
      <c r="D2390" s="3" t="s">
        <v>160</v>
      </c>
      <c r="E2390" s="3" t="s">
        <v>4164</v>
      </c>
      <c r="F2390" s="4">
        <v>43745</v>
      </c>
      <c r="G2390" s="3"/>
      <c r="H2390" s="3"/>
      <c r="I2390" s="3" t="s">
        <v>7043</v>
      </c>
      <c r="J2390" s="3"/>
      <c r="K2390" s="3"/>
      <c r="L2390" s="5"/>
    </row>
    <row r="2391" spans="1:12" ht="28.8" x14ac:dyDescent="0.55000000000000004">
      <c r="A2391" s="9" t="str">
        <f>HYPERLINK("PDF\FOIA-FWS-2020-00724-0002390.pdf","FOIA-FWS-2020-00724-0002390")</f>
        <v>FOIA-FWS-2020-00724-0002390</v>
      </c>
      <c r="B2391" s="3" t="s">
        <v>4165</v>
      </c>
      <c r="C2391" s="3" t="s">
        <v>3</v>
      </c>
      <c r="D2391" s="3" t="s">
        <v>38</v>
      </c>
      <c r="E2391" s="3" t="s">
        <v>4166</v>
      </c>
      <c r="F2391" s="4">
        <v>43745</v>
      </c>
      <c r="G2391" s="3"/>
      <c r="H2391" s="3"/>
      <c r="I2391" s="3" t="s">
        <v>7043</v>
      </c>
      <c r="J2391" s="3"/>
      <c r="K2391" s="3"/>
      <c r="L2391" s="5"/>
    </row>
    <row r="2392" spans="1:12" ht="28.8" x14ac:dyDescent="0.55000000000000004">
      <c r="A2392" s="9" t="str">
        <f>HYPERLINK("PDF\FOIA-FWS-2020-00724-0002391.pdf","FOIA-FWS-2020-00724-0002391")</f>
        <v>FOIA-FWS-2020-00724-0002391</v>
      </c>
      <c r="B2392" s="3" t="s">
        <v>4167</v>
      </c>
      <c r="C2392" s="3" t="s">
        <v>3</v>
      </c>
      <c r="D2392" s="3" t="s">
        <v>38</v>
      </c>
      <c r="E2392" s="3" t="s">
        <v>4168</v>
      </c>
      <c r="F2392" s="4">
        <v>43745</v>
      </c>
      <c r="G2392" s="3"/>
      <c r="H2392" s="3"/>
      <c r="I2392" s="3" t="s">
        <v>7043</v>
      </c>
      <c r="J2392" s="3"/>
      <c r="K2392" s="3"/>
      <c r="L2392" s="5"/>
    </row>
    <row r="2393" spans="1:12" ht="28.8" x14ac:dyDescent="0.55000000000000004">
      <c r="A2393" s="9" t="str">
        <f>HYPERLINK("PDF\FOIA-FWS-2020-00724-0002392.pdf","FOIA-FWS-2020-00724-0002392")</f>
        <v>FOIA-FWS-2020-00724-0002392</v>
      </c>
      <c r="B2393" s="3" t="s">
        <v>4169</v>
      </c>
      <c r="C2393" s="3" t="s">
        <v>3</v>
      </c>
      <c r="D2393" s="3" t="s">
        <v>33</v>
      </c>
      <c r="E2393" s="3" t="s">
        <v>4171</v>
      </c>
      <c r="F2393" s="4">
        <v>43753.656944444447</v>
      </c>
      <c r="G2393" s="3" t="s">
        <v>963</v>
      </c>
      <c r="H2393" s="3" t="s">
        <v>4170</v>
      </c>
      <c r="I2393" s="3" t="s">
        <v>7043</v>
      </c>
      <c r="J2393" s="3"/>
      <c r="K2393" s="3"/>
      <c r="L2393" s="5"/>
    </row>
    <row r="2394" spans="1:12" ht="28.8" x14ac:dyDescent="0.55000000000000004">
      <c r="A2394" s="9" t="str">
        <f>HYPERLINK("PDF\FOIA-FWS-2020-00724-0002393.pdf","FOIA-FWS-2020-00724-0002393")</f>
        <v>FOIA-FWS-2020-00724-0002393</v>
      </c>
      <c r="B2394" s="3" t="s">
        <v>4172</v>
      </c>
      <c r="C2394" s="3" t="s">
        <v>3</v>
      </c>
      <c r="D2394" s="3" t="s">
        <v>33</v>
      </c>
      <c r="E2394" s="3" t="s">
        <v>4173</v>
      </c>
      <c r="F2394" s="4">
        <v>43754</v>
      </c>
      <c r="G2394" s="3"/>
      <c r="H2394" s="3"/>
      <c r="I2394" s="3" t="s">
        <v>7043</v>
      </c>
      <c r="J2394" s="3"/>
      <c r="K2394" s="3"/>
      <c r="L2394" s="5"/>
    </row>
    <row r="2395" spans="1:12" ht="28.8" x14ac:dyDescent="0.55000000000000004">
      <c r="A2395" s="9" t="str">
        <f>HYPERLINK("PDF\FOIA-FWS-2020-00724-0002394.pdf","FOIA-FWS-2020-00724-0002394")</f>
        <v>FOIA-FWS-2020-00724-0002394</v>
      </c>
      <c r="B2395" s="3" t="s">
        <v>4174</v>
      </c>
      <c r="C2395" s="3" t="s">
        <v>3</v>
      </c>
      <c r="D2395" s="3" t="s">
        <v>4</v>
      </c>
      <c r="E2395" s="3" t="s">
        <v>4175</v>
      </c>
      <c r="F2395" s="4">
        <v>43754</v>
      </c>
      <c r="G2395" s="3"/>
      <c r="H2395" s="3"/>
      <c r="I2395" s="3" t="s">
        <v>7043</v>
      </c>
      <c r="J2395" s="3"/>
      <c r="K2395" s="3"/>
      <c r="L2395" s="5"/>
    </row>
    <row r="2396" spans="1:12" ht="28.8" x14ac:dyDescent="0.55000000000000004">
      <c r="A2396" s="9" t="str">
        <f>HYPERLINK("PDF\FOIA-FWS-2020-00724-0002395.pdf","FOIA-FWS-2020-00724-0002395")</f>
        <v>FOIA-FWS-2020-00724-0002395</v>
      </c>
      <c r="B2396" s="3" t="s">
        <v>4176</v>
      </c>
      <c r="C2396" s="3" t="s">
        <v>3</v>
      </c>
      <c r="D2396" s="3" t="s">
        <v>4</v>
      </c>
      <c r="E2396" s="3" t="s">
        <v>4177</v>
      </c>
      <c r="F2396" s="4">
        <v>43754</v>
      </c>
      <c r="G2396" s="3"/>
      <c r="H2396" s="3"/>
      <c r="I2396" s="3" t="s">
        <v>7043</v>
      </c>
      <c r="J2396" s="3"/>
      <c r="K2396" s="3"/>
      <c r="L2396" s="5"/>
    </row>
    <row r="2397" spans="1:12" ht="28.8" x14ac:dyDescent="0.55000000000000004">
      <c r="A2397" s="9" t="str">
        <f>HYPERLINK("PDF\FOIA-FWS-2020-00724-0002396.pdf","FOIA-FWS-2020-00724-0002396")</f>
        <v>FOIA-FWS-2020-00724-0002396</v>
      </c>
      <c r="B2397" s="3" t="s">
        <v>4178</v>
      </c>
      <c r="C2397" s="3" t="s">
        <v>3</v>
      </c>
      <c r="D2397" s="3" t="s">
        <v>33</v>
      </c>
      <c r="E2397" s="3" t="s">
        <v>4179</v>
      </c>
      <c r="F2397" s="4">
        <v>43754.543055555558</v>
      </c>
      <c r="G2397" s="3" t="s">
        <v>3560</v>
      </c>
      <c r="H2397" s="3" t="s">
        <v>945</v>
      </c>
      <c r="I2397" s="3" t="s">
        <v>7043</v>
      </c>
      <c r="J2397" s="3"/>
      <c r="K2397" s="3"/>
      <c r="L2397" s="5"/>
    </row>
    <row r="2398" spans="1:12" ht="28.8" x14ac:dyDescent="0.55000000000000004">
      <c r="A2398" s="9" t="str">
        <f>HYPERLINK("PDF\FOIA-FWS-2020-00724-0002397.pdf","FOIA-FWS-2020-00724-0002397")</f>
        <v>FOIA-FWS-2020-00724-0002397</v>
      </c>
      <c r="B2398" s="3" t="s">
        <v>4178</v>
      </c>
      <c r="C2398" s="3" t="s">
        <v>234</v>
      </c>
      <c r="D2398" s="3" t="s">
        <v>33</v>
      </c>
      <c r="E2398" s="3" t="s">
        <v>4180</v>
      </c>
      <c r="F2398" s="4">
        <v>43754.543055555558</v>
      </c>
      <c r="G2398" s="3"/>
      <c r="H2398" s="3"/>
      <c r="I2398" s="3" t="s">
        <v>7043</v>
      </c>
      <c r="J2398" s="3"/>
      <c r="K2398" s="3"/>
      <c r="L2398" s="5"/>
    </row>
    <row r="2399" spans="1:12" ht="28.8" x14ac:dyDescent="0.55000000000000004">
      <c r="A2399" s="9" t="str">
        <f>HYPERLINK("PDF\FOIA-FWS-2020-00724-0002398.pdf","FOIA-FWS-2020-00724-0002398")</f>
        <v>FOIA-FWS-2020-00724-0002398</v>
      </c>
      <c r="B2399" s="3" t="s">
        <v>4181</v>
      </c>
      <c r="C2399" s="3" t="s">
        <v>3</v>
      </c>
      <c r="D2399" s="3" t="s">
        <v>33</v>
      </c>
      <c r="E2399" s="3" t="s">
        <v>4182</v>
      </c>
      <c r="F2399" s="4">
        <v>43754.549305555556</v>
      </c>
      <c r="G2399" s="3" t="s">
        <v>3560</v>
      </c>
      <c r="H2399" s="3" t="s">
        <v>1003</v>
      </c>
      <c r="I2399" s="3" t="s">
        <v>7043</v>
      </c>
      <c r="J2399" s="3"/>
      <c r="K2399" s="3"/>
      <c r="L2399" s="5"/>
    </row>
    <row r="2400" spans="1:12" ht="28.8" x14ac:dyDescent="0.55000000000000004">
      <c r="A2400" s="9" t="str">
        <f>HYPERLINK("PDF\FOIA-FWS-2020-00724-0002399.pdf","FOIA-FWS-2020-00724-0002399")</f>
        <v>FOIA-FWS-2020-00724-0002399</v>
      </c>
      <c r="B2400" s="3" t="s">
        <v>4181</v>
      </c>
      <c r="C2400" s="3" t="s">
        <v>234</v>
      </c>
      <c r="D2400" s="3" t="s">
        <v>33</v>
      </c>
      <c r="E2400" s="3" t="s">
        <v>4180</v>
      </c>
      <c r="F2400" s="4">
        <v>43754.549305555556</v>
      </c>
      <c r="G2400" s="3"/>
      <c r="H2400" s="3"/>
      <c r="I2400" s="3" t="s">
        <v>7043</v>
      </c>
      <c r="J2400" s="3"/>
      <c r="K2400" s="3"/>
      <c r="L2400" s="5"/>
    </row>
    <row r="2401" spans="1:12" ht="28.8" x14ac:dyDescent="0.55000000000000004">
      <c r="A2401" s="9" t="str">
        <f>HYPERLINK("PDF\FOIA-FWS-2020-00724-0002400.pdf","FOIA-FWS-2020-00724-0002400")</f>
        <v>FOIA-FWS-2020-00724-0002400</v>
      </c>
      <c r="B2401" s="3" t="s">
        <v>4183</v>
      </c>
      <c r="C2401" s="3" t="s">
        <v>3</v>
      </c>
      <c r="D2401" s="3" t="s">
        <v>33</v>
      </c>
      <c r="E2401" s="3" t="s">
        <v>4182</v>
      </c>
      <c r="F2401" s="4">
        <v>43754.563194444447</v>
      </c>
      <c r="G2401" s="3" t="s">
        <v>963</v>
      </c>
      <c r="H2401" s="3" t="s">
        <v>3560</v>
      </c>
      <c r="I2401" s="3" t="s">
        <v>7043</v>
      </c>
      <c r="J2401" s="3"/>
      <c r="K2401" s="3"/>
      <c r="L2401" s="5"/>
    </row>
    <row r="2402" spans="1:12" ht="43.2" x14ac:dyDescent="0.55000000000000004">
      <c r="A2402" s="9" t="str">
        <f>HYPERLINK("PDF\FOIA-FWS-2020-00724-0002401.pdf","FOIA-FWS-2020-00724-0002401")</f>
        <v>FOIA-FWS-2020-00724-0002401</v>
      </c>
      <c r="B2402" s="3" t="s">
        <v>4184</v>
      </c>
      <c r="C2402" s="3" t="s">
        <v>3</v>
      </c>
      <c r="D2402" s="3" t="s">
        <v>33</v>
      </c>
      <c r="E2402" s="3" t="s">
        <v>4186</v>
      </c>
      <c r="F2402" s="4">
        <v>43754.577777777777</v>
      </c>
      <c r="G2402" s="3" t="s">
        <v>963</v>
      </c>
      <c r="H2402" s="3" t="s">
        <v>4185</v>
      </c>
      <c r="I2402" s="3" t="s">
        <v>7043</v>
      </c>
      <c r="J2402" s="3"/>
      <c r="K2402" s="3"/>
      <c r="L2402" s="5"/>
    </row>
    <row r="2403" spans="1:12" ht="28.8" x14ac:dyDescent="0.55000000000000004">
      <c r="A2403" s="9" t="str">
        <f>HYPERLINK("PDF\FOIA-FWS-2020-00724-0002402.pdf","FOIA-FWS-2020-00724-0002402")</f>
        <v>FOIA-FWS-2020-00724-0002402</v>
      </c>
      <c r="B2403" s="3" t="s">
        <v>4184</v>
      </c>
      <c r="C2403" s="3" t="s">
        <v>234</v>
      </c>
      <c r="D2403" s="3" t="s">
        <v>33</v>
      </c>
      <c r="E2403" s="3" t="s">
        <v>4187</v>
      </c>
      <c r="F2403" s="4">
        <v>43754.577777777777</v>
      </c>
      <c r="G2403" s="3"/>
      <c r="H2403" s="3"/>
      <c r="I2403" s="3" t="s">
        <v>7043</v>
      </c>
      <c r="J2403" s="3"/>
      <c r="K2403" s="3"/>
      <c r="L2403" s="5"/>
    </row>
    <row r="2404" spans="1:12" ht="28.8" x14ac:dyDescent="0.55000000000000004">
      <c r="A2404" s="9" t="str">
        <f>HYPERLINK("PDF\FOIA-FWS-2020-00724-0002403.pdf","FOIA-FWS-2020-00724-0002403")</f>
        <v>FOIA-FWS-2020-00724-0002403</v>
      </c>
      <c r="B2404" s="3" t="s">
        <v>4188</v>
      </c>
      <c r="C2404" s="3" t="s">
        <v>3</v>
      </c>
      <c r="D2404" s="3" t="s">
        <v>33</v>
      </c>
      <c r="E2404" s="3" t="s">
        <v>4189</v>
      </c>
      <c r="F2404" s="4">
        <v>43754.603472222225</v>
      </c>
      <c r="G2404" s="3" t="s">
        <v>1963</v>
      </c>
      <c r="H2404" s="3" t="s">
        <v>963</v>
      </c>
      <c r="I2404" s="3" t="s">
        <v>7043</v>
      </c>
      <c r="J2404" s="3"/>
      <c r="K2404" s="3"/>
      <c r="L2404" s="5"/>
    </row>
    <row r="2405" spans="1:12" ht="28.8" x14ac:dyDescent="0.55000000000000004">
      <c r="A2405" s="9" t="str">
        <f>HYPERLINK("PDF\FOIA-FWS-2020-00724-0002404.pdf","FOIA-FWS-2020-00724-0002404")</f>
        <v>FOIA-FWS-2020-00724-0002404</v>
      </c>
      <c r="B2405" s="3" t="s">
        <v>4190</v>
      </c>
      <c r="C2405" s="3" t="s">
        <v>3</v>
      </c>
      <c r="D2405" s="3" t="s">
        <v>33</v>
      </c>
      <c r="E2405" s="3" t="s">
        <v>4189</v>
      </c>
      <c r="F2405" s="4">
        <v>43754.621527777781</v>
      </c>
      <c r="G2405" s="3" t="s">
        <v>872</v>
      </c>
      <c r="H2405" s="3" t="s">
        <v>4191</v>
      </c>
      <c r="I2405" s="3" t="s">
        <v>7043</v>
      </c>
      <c r="J2405" s="3"/>
      <c r="K2405" s="3"/>
      <c r="L2405" s="5"/>
    </row>
    <row r="2406" spans="1:12" ht="28.8" x14ac:dyDescent="0.55000000000000004">
      <c r="A2406" s="9" t="str">
        <f>HYPERLINK("PDF\FOIA-FWS-2020-00724-0002405.pdf","FOIA-FWS-2020-00724-0002405")</f>
        <v>FOIA-FWS-2020-00724-0002405</v>
      </c>
      <c r="B2406" s="3" t="s">
        <v>4192</v>
      </c>
      <c r="C2406" s="3" t="s">
        <v>3</v>
      </c>
      <c r="D2406" s="3" t="s">
        <v>33</v>
      </c>
      <c r="E2406" s="3" t="s">
        <v>4193</v>
      </c>
      <c r="F2406" s="4">
        <v>43754.763194444444</v>
      </c>
      <c r="G2406" s="3" t="s">
        <v>955</v>
      </c>
      <c r="H2406" s="3" t="s">
        <v>963</v>
      </c>
      <c r="I2406" s="3" t="s">
        <v>7043</v>
      </c>
      <c r="J2406" s="3"/>
      <c r="K2406" s="3"/>
      <c r="L2406" s="5"/>
    </row>
    <row r="2407" spans="1:12" ht="28.8" x14ac:dyDescent="0.55000000000000004">
      <c r="A2407" s="9" t="str">
        <f>HYPERLINK("PDF\FOIA-FWS-2020-00724-0002406.pdf","FOIA-FWS-2020-00724-0002406")</f>
        <v>FOIA-FWS-2020-00724-0002406</v>
      </c>
      <c r="B2407" s="3" t="s">
        <v>4192</v>
      </c>
      <c r="C2407" s="3" t="s">
        <v>234</v>
      </c>
      <c r="D2407" s="3" t="s">
        <v>33</v>
      </c>
      <c r="E2407" s="3" t="s">
        <v>4194</v>
      </c>
      <c r="F2407" s="4">
        <v>43754.763194444444</v>
      </c>
      <c r="G2407" s="3"/>
      <c r="H2407" s="3"/>
      <c r="I2407" s="3" t="s">
        <v>7043</v>
      </c>
      <c r="J2407" s="3"/>
      <c r="K2407" s="3"/>
      <c r="L2407" s="5"/>
    </row>
    <row r="2408" spans="1:12" ht="28.8" x14ac:dyDescent="0.55000000000000004">
      <c r="A2408" s="9" t="str">
        <f>HYPERLINK("PDF\FOIA-FWS-2020-00724-0002407.pdf","FOIA-FWS-2020-00724-0002407")</f>
        <v>FOIA-FWS-2020-00724-0002407</v>
      </c>
      <c r="B2408" s="3" t="s">
        <v>4195</v>
      </c>
      <c r="C2408" s="3" t="s">
        <v>3</v>
      </c>
      <c r="D2408" s="3" t="s">
        <v>33</v>
      </c>
      <c r="E2408" s="3" t="s">
        <v>4196</v>
      </c>
      <c r="F2408" s="4">
        <v>43755</v>
      </c>
      <c r="G2408" s="3"/>
      <c r="H2408" s="3"/>
      <c r="I2408" s="3" t="s">
        <v>7043</v>
      </c>
      <c r="J2408" s="3"/>
      <c r="K2408" s="3"/>
      <c r="L2408" s="5"/>
    </row>
    <row r="2409" spans="1:12" ht="28.8" x14ac:dyDescent="0.55000000000000004">
      <c r="A2409" s="9" t="str">
        <f>HYPERLINK("PDF\FOIA-FWS-2020-00724-0002408.pdf","FOIA-FWS-2020-00724-0002408")</f>
        <v>FOIA-FWS-2020-00724-0002408</v>
      </c>
      <c r="B2409" s="3" t="s">
        <v>4197</v>
      </c>
      <c r="C2409" s="3" t="s">
        <v>3</v>
      </c>
      <c r="D2409" s="3" t="s">
        <v>33</v>
      </c>
      <c r="E2409" s="3" t="s">
        <v>4198</v>
      </c>
      <c r="F2409" s="4">
        <v>43755</v>
      </c>
      <c r="G2409" s="3"/>
      <c r="H2409" s="3"/>
      <c r="I2409" s="3" t="s">
        <v>7043</v>
      </c>
      <c r="J2409" s="3"/>
      <c r="K2409" s="3"/>
      <c r="L2409" s="5"/>
    </row>
    <row r="2410" spans="1:12" ht="28.8" x14ac:dyDescent="0.55000000000000004">
      <c r="A2410" s="9" t="str">
        <f>HYPERLINK("PDF\FOIA-FWS-2020-00724-0002409.pdf","FOIA-FWS-2020-00724-0002409")</f>
        <v>FOIA-FWS-2020-00724-0002409</v>
      </c>
      <c r="B2410" s="3" t="s">
        <v>4199</v>
      </c>
      <c r="C2410" s="3" t="s">
        <v>3</v>
      </c>
      <c r="D2410" s="3" t="s">
        <v>33</v>
      </c>
      <c r="E2410" s="3" t="s">
        <v>4182</v>
      </c>
      <c r="F2410" s="4">
        <v>43755.388888888891</v>
      </c>
      <c r="G2410" s="3" t="s">
        <v>3560</v>
      </c>
      <c r="H2410" s="3" t="s">
        <v>963</v>
      </c>
      <c r="I2410" s="3" t="s">
        <v>7043</v>
      </c>
      <c r="J2410" s="3"/>
      <c r="K2410" s="3"/>
      <c r="L2410" s="5"/>
    </row>
    <row r="2411" spans="1:12" ht="28.8" x14ac:dyDescent="0.55000000000000004">
      <c r="A2411" s="9" t="str">
        <f>HYPERLINK("PDF\FOIA-FWS-2020-00724-0002410.pdf","FOIA-FWS-2020-00724-0002410")</f>
        <v>FOIA-FWS-2020-00724-0002410</v>
      </c>
      <c r="B2411" s="3" t="s">
        <v>4199</v>
      </c>
      <c r="C2411" s="3" t="s">
        <v>234</v>
      </c>
      <c r="D2411" s="3" t="s">
        <v>33</v>
      </c>
      <c r="E2411" s="3" t="s">
        <v>4200</v>
      </c>
      <c r="F2411" s="4">
        <v>43755.388888888891</v>
      </c>
      <c r="G2411" s="3"/>
      <c r="H2411" s="3"/>
      <c r="I2411" s="3" t="s">
        <v>7043</v>
      </c>
      <c r="J2411" s="3"/>
      <c r="K2411" s="3"/>
      <c r="L2411" s="5"/>
    </row>
    <row r="2412" spans="1:12" ht="28.8" x14ac:dyDescent="0.55000000000000004">
      <c r="A2412" s="9" t="str">
        <f>HYPERLINK("PDF\FOIA-FWS-2020-00724-0002411.pdf","FOIA-FWS-2020-00724-0002411")</f>
        <v>FOIA-FWS-2020-00724-0002411</v>
      </c>
      <c r="B2412" s="3" t="s">
        <v>4199</v>
      </c>
      <c r="C2412" s="3" t="s">
        <v>234</v>
      </c>
      <c r="D2412" s="3" t="s">
        <v>33</v>
      </c>
      <c r="E2412" s="3" t="s">
        <v>4201</v>
      </c>
      <c r="F2412" s="4">
        <v>43755.388888888891</v>
      </c>
      <c r="G2412" s="3"/>
      <c r="H2412" s="3"/>
      <c r="I2412" s="3" t="s">
        <v>7043</v>
      </c>
      <c r="J2412" s="3"/>
      <c r="K2412" s="3"/>
      <c r="L2412" s="5"/>
    </row>
    <row r="2413" spans="1:12" ht="43.2" x14ac:dyDescent="0.55000000000000004">
      <c r="A2413" s="9" t="str">
        <f>HYPERLINK("PDF\FOIA-FWS-2020-00724-0002412.pdf","FOIA-FWS-2020-00724-0002412")</f>
        <v>FOIA-FWS-2020-00724-0002412</v>
      </c>
      <c r="B2413" s="3" t="s">
        <v>4202</v>
      </c>
      <c r="C2413" s="3" t="s">
        <v>3</v>
      </c>
      <c r="D2413" s="3" t="s">
        <v>33</v>
      </c>
      <c r="E2413" s="3" t="s">
        <v>4204</v>
      </c>
      <c r="F2413" s="4">
        <v>43760.515972222223</v>
      </c>
      <c r="G2413" s="3" t="s">
        <v>945</v>
      </c>
      <c r="H2413" s="3" t="s">
        <v>4203</v>
      </c>
      <c r="I2413" s="3" t="s">
        <v>7043</v>
      </c>
      <c r="J2413" s="3"/>
      <c r="K2413" s="3"/>
      <c r="L2413" s="5"/>
    </row>
    <row r="2414" spans="1:12" ht="28.8" x14ac:dyDescent="0.55000000000000004">
      <c r="A2414" s="9" t="str">
        <f>HYPERLINK("PDF\FOIA-FWS-2020-00724-0002413.pdf","FOIA-FWS-2020-00724-0002413")</f>
        <v>FOIA-FWS-2020-00724-0002413</v>
      </c>
      <c r="B2414" s="3" t="s">
        <v>4202</v>
      </c>
      <c r="C2414" s="3" t="s">
        <v>234</v>
      </c>
      <c r="D2414" s="3" t="s">
        <v>33</v>
      </c>
      <c r="E2414" s="3" t="s">
        <v>4205</v>
      </c>
      <c r="F2414" s="4">
        <v>43760.515972222223</v>
      </c>
      <c r="G2414" s="3"/>
      <c r="H2414" s="3"/>
      <c r="I2414" s="3" t="s">
        <v>7043</v>
      </c>
      <c r="J2414" s="3"/>
      <c r="K2414" s="3"/>
      <c r="L2414" s="5"/>
    </row>
    <row r="2415" spans="1:12" ht="28.8" x14ac:dyDescent="0.55000000000000004">
      <c r="A2415" s="9" t="str">
        <f>HYPERLINK("PDF\FOIA-FWS-2020-00724-0002414.pdf","FOIA-FWS-2020-00724-0002414")</f>
        <v>FOIA-FWS-2020-00724-0002414</v>
      </c>
      <c r="B2415" s="3" t="s">
        <v>4206</v>
      </c>
      <c r="C2415" s="3" t="s">
        <v>3</v>
      </c>
      <c r="D2415" s="3" t="s">
        <v>33</v>
      </c>
      <c r="E2415" s="3" t="s">
        <v>4208</v>
      </c>
      <c r="F2415" s="4">
        <v>43762.763888888891</v>
      </c>
      <c r="G2415" s="3" t="s">
        <v>1119</v>
      </c>
      <c r="H2415" s="3" t="s">
        <v>4207</v>
      </c>
      <c r="I2415" s="3" t="s">
        <v>7043</v>
      </c>
      <c r="J2415" s="3"/>
      <c r="K2415" s="3"/>
      <c r="L2415" s="5"/>
    </row>
    <row r="2416" spans="1:12" ht="28.8" x14ac:dyDescent="0.55000000000000004">
      <c r="A2416" s="9" t="str">
        <f>HYPERLINK("PDF\FOIA-FWS-2020-00724-0002415.pdf","FOIA-FWS-2020-00724-0002415")</f>
        <v>FOIA-FWS-2020-00724-0002415</v>
      </c>
      <c r="B2416" s="3" t="s">
        <v>4206</v>
      </c>
      <c r="C2416" s="3" t="s">
        <v>234</v>
      </c>
      <c r="D2416" s="3" t="s">
        <v>33</v>
      </c>
      <c r="E2416" s="3" t="s">
        <v>4209</v>
      </c>
      <c r="F2416" s="4">
        <v>43762.763888888891</v>
      </c>
      <c r="G2416" s="3"/>
      <c r="H2416" s="3"/>
      <c r="I2416" s="3" t="s">
        <v>7043</v>
      </c>
      <c r="J2416" s="3"/>
      <c r="K2416" s="3"/>
      <c r="L2416" s="5"/>
    </row>
    <row r="2417" spans="1:12" ht="28.8" x14ac:dyDescent="0.55000000000000004">
      <c r="A2417" s="9" t="str">
        <f>HYPERLINK("PDF\FOIA-FWS-2020-00724-0002416.pdf","FOIA-FWS-2020-00724-0002416")</f>
        <v>FOIA-FWS-2020-00724-0002416</v>
      </c>
      <c r="B2417" s="3" t="s">
        <v>4210</v>
      </c>
      <c r="C2417" s="3" t="s">
        <v>3</v>
      </c>
      <c r="D2417" s="3" t="s">
        <v>33</v>
      </c>
      <c r="E2417" s="3" t="s">
        <v>4211</v>
      </c>
      <c r="F2417" s="4">
        <v>43763</v>
      </c>
      <c r="G2417" s="3"/>
      <c r="H2417" s="3"/>
      <c r="I2417" s="3" t="s">
        <v>7043</v>
      </c>
      <c r="J2417" s="3"/>
      <c r="K2417" s="3"/>
      <c r="L2417" s="5"/>
    </row>
    <row r="2418" spans="1:12" ht="28.8" x14ac:dyDescent="0.55000000000000004">
      <c r="A2418" s="9" t="str">
        <f>HYPERLINK("PDF\FOIA-FWS-2020-00724-0002417.pdf","FOIA-FWS-2020-00724-0002417")</f>
        <v>FOIA-FWS-2020-00724-0002417</v>
      </c>
      <c r="B2418" s="3" t="s">
        <v>4212</v>
      </c>
      <c r="C2418" s="3" t="s">
        <v>3</v>
      </c>
      <c r="D2418" s="3" t="s">
        <v>33</v>
      </c>
      <c r="E2418" s="3" t="s">
        <v>4213</v>
      </c>
      <c r="F2418" s="4">
        <v>43768</v>
      </c>
      <c r="G2418" s="3"/>
      <c r="H2418" s="3"/>
      <c r="I2418" s="3" t="s">
        <v>7043</v>
      </c>
      <c r="J2418" s="3"/>
      <c r="K2418" s="3"/>
      <c r="L2418" s="5"/>
    </row>
    <row r="2419" spans="1:12" ht="28.8" x14ac:dyDescent="0.55000000000000004">
      <c r="A2419" s="9" t="str">
        <f>HYPERLINK("PDF\FOIA-FWS-2020-00724-0002418.pdf","FOIA-FWS-2020-00724-0002418")</f>
        <v>FOIA-FWS-2020-00724-0002418</v>
      </c>
      <c r="B2419" s="3" t="s">
        <v>4214</v>
      </c>
      <c r="C2419" s="3" t="s">
        <v>3</v>
      </c>
      <c r="D2419" s="3" t="s">
        <v>33</v>
      </c>
      <c r="E2419" s="3" t="s">
        <v>4215</v>
      </c>
      <c r="F2419" s="4">
        <v>43768</v>
      </c>
      <c r="G2419" s="3"/>
      <c r="H2419" s="3"/>
      <c r="I2419" s="3" t="s">
        <v>7043</v>
      </c>
      <c r="J2419" s="3"/>
      <c r="K2419" s="3"/>
      <c r="L2419" s="5"/>
    </row>
    <row r="2420" spans="1:12" ht="28.8" x14ac:dyDescent="0.55000000000000004">
      <c r="A2420" s="9" t="str">
        <f>HYPERLINK("PDF\FOIA-FWS-2020-00724-0002419.pdf","FOIA-FWS-2020-00724-0002419")</f>
        <v>FOIA-FWS-2020-00724-0002419</v>
      </c>
      <c r="B2420" s="3" t="s">
        <v>4216</v>
      </c>
      <c r="C2420" s="3" t="s">
        <v>3</v>
      </c>
      <c r="D2420" s="3" t="s">
        <v>33</v>
      </c>
      <c r="E2420" s="3" t="s">
        <v>4217</v>
      </c>
      <c r="F2420" s="4">
        <v>43768.491666666669</v>
      </c>
      <c r="G2420" s="3" t="s">
        <v>1119</v>
      </c>
      <c r="H2420" s="3" t="s">
        <v>861</v>
      </c>
      <c r="I2420" s="3" t="s">
        <v>7043</v>
      </c>
      <c r="J2420" s="3"/>
      <c r="K2420" s="3"/>
      <c r="L2420" s="5"/>
    </row>
    <row r="2421" spans="1:12" ht="28.8" x14ac:dyDescent="0.55000000000000004">
      <c r="A2421" s="9" t="str">
        <f>HYPERLINK("PDF\FOIA-FWS-2020-00724-0002420.pdf","FOIA-FWS-2020-00724-0002420")</f>
        <v>FOIA-FWS-2020-00724-0002420</v>
      </c>
      <c r="B2421" s="3" t="s">
        <v>4218</v>
      </c>
      <c r="C2421" s="3" t="s">
        <v>3</v>
      </c>
      <c r="D2421" s="3" t="s">
        <v>33</v>
      </c>
      <c r="E2421" s="3" t="s">
        <v>4219</v>
      </c>
      <c r="F2421" s="4">
        <v>43768.600694444445</v>
      </c>
      <c r="G2421" s="3" t="s">
        <v>861</v>
      </c>
      <c r="H2421" s="3" t="s">
        <v>955</v>
      </c>
      <c r="I2421" s="3" t="s">
        <v>7043</v>
      </c>
      <c r="J2421" s="3"/>
      <c r="K2421" s="3"/>
      <c r="L2421" s="5"/>
    </row>
    <row r="2422" spans="1:12" ht="43.2" x14ac:dyDescent="0.55000000000000004">
      <c r="A2422" s="9" t="str">
        <f>HYPERLINK("PDF\FOIA-FWS-2020-00724-0002421.pdf","FOIA-FWS-2020-00724-0002421")</f>
        <v>FOIA-FWS-2020-00724-0002421</v>
      </c>
      <c r="B2422" s="3" t="s">
        <v>4220</v>
      </c>
      <c r="C2422" s="3" t="s">
        <v>3</v>
      </c>
      <c r="D2422" s="3" t="s">
        <v>33</v>
      </c>
      <c r="E2422" s="3" t="s">
        <v>4222</v>
      </c>
      <c r="F2422" s="4">
        <v>43768.648611111108</v>
      </c>
      <c r="G2422" s="3" t="s">
        <v>963</v>
      </c>
      <c r="H2422" s="3" t="s">
        <v>4221</v>
      </c>
      <c r="I2422" s="3" t="s">
        <v>864</v>
      </c>
      <c r="J2422" s="3" t="s">
        <v>7046</v>
      </c>
      <c r="K2422" s="3" t="s">
        <v>7036</v>
      </c>
      <c r="L2422" s="5"/>
    </row>
    <row r="2423" spans="1:12" ht="72" x14ac:dyDescent="0.55000000000000004">
      <c r="A2423" s="9" t="str">
        <f>HYPERLINK("PDF\FOIA-FWS-2020-00724-0002422.pdf","FOIA-FWS-2020-00724-0002422")</f>
        <v>FOIA-FWS-2020-00724-0002422</v>
      </c>
      <c r="B2423" s="3" t="s">
        <v>4220</v>
      </c>
      <c r="C2423" s="3" t="s">
        <v>234</v>
      </c>
      <c r="D2423" s="3" t="s">
        <v>33</v>
      </c>
      <c r="E2423" s="3" t="s">
        <v>867</v>
      </c>
      <c r="F2423" s="4">
        <v>43768.648611111108</v>
      </c>
      <c r="G2423" s="3" t="s">
        <v>2007</v>
      </c>
      <c r="H2423" s="3" t="s">
        <v>4223</v>
      </c>
      <c r="I2423" s="3" t="s">
        <v>864</v>
      </c>
      <c r="J2423" s="3" t="s">
        <v>7046</v>
      </c>
      <c r="K2423" s="3" t="s">
        <v>7036</v>
      </c>
      <c r="L2423" s="5"/>
    </row>
    <row r="2424" spans="1:12" ht="28.8" x14ac:dyDescent="0.55000000000000004">
      <c r="A2424" s="9" t="str">
        <f>HYPERLINK("PDF\FOIA-FWS-2020-00724-0002423.pdf","FOIA-FWS-2020-00724-0002423")</f>
        <v>FOIA-FWS-2020-00724-0002423</v>
      </c>
      <c r="B2424" s="3" t="s">
        <v>4224</v>
      </c>
      <c r="C2424" s="3" t="s">
        <v>3</v>
      </c>
      <c r="D2424" s="3" t="s">
        <v>33</v>
      </c>
      <c r="E2424" s="3" t="s">
        <v>4225</v>
      </c>
      <c r="F2424" s="4">
        <v>43768.67291666667</v>
      </c>
      <c r="G2424" s="3" t="s">
        <v>1332</v>
      </c>
      <c r="H2424" s="3" t="s">
        <v>963</v>
      </c>
      <c r="I2424" s="3" t="s">
        <v>7043</v>
      </c>
      <c r="J2424" s="3"/>
      <c r="K2424" s="3"/>
      <c r="L2424" s="5"/>
    </row>
    <row r="2425" spans="1:12" ht="28.8" x14ac:dyDescent="0.55000000000000004">
      <c r="A2425" s="9" t="str">
        <f>HYPERLINK("PDF\FOIA-FWS-2020-00724-0002424.pdf","FOIA-FWS-2020-00724-0002424")</f>
        <v>FOIA-FWS-2020-00724-0002424</v>
      </c>
      <c r="B2425" s="3" t="s">
        <v>4224</v>
      </c>
      <c r="C2425" s="3" t="s">
        <v>234</v>
      </c>
      <c r="D2425" s="3" t="s">
        <v>160</v>
      </c>
      <c r="E2425" s="3" t="s">
        <v>4226</v>
      </c>
      <c r="F2425" s="4">
        <v>43768.67291666667</v>
      </c>
      <c r="G2425" s="3"/>
      <c r="H2425" s="3"/>
      <c r="I2425" s="3" t="s">
        <v>7043</v>
      </c>
      <c r="J2425" s="3"/>
      <c r="K2425" s="3"/>
      <c r="L2425" s="5" t="str">
        <f>HYPERLINK("NATIVE_FILES\FOIA-FWS-2020-00724-0002424.gdbindexes","FOIA-FWS-2020-00724-0002424.gdbindexes")</f>
        <v>FOIA-FWS-2020-00724-0002424.gdbindexes</v>
      </c>
    </row>
    <row r="2426" spans="1:12" ht="28.8" x14ac:dyDescent="0.55000000000000004">
      <c r="A2426" s="9" t="str">
        <f>HYPERLINK("PDF\FOIA-FWS-2020-00724-0002425.pdf","FOIA-FWS-2020-00724-0002425")</f>
        <v>FOIA-FWS-2020-00724-0002425</v>
      </c>
      <c r="B2426" s="3" t="s">
        <v>4224</v>
      </c>
      <c r="C2426" s="3" t="s">
        <v>234</v>
      </c>
      <c r="D2426" s="3" t="s">
        <v>160</v>
      </c>
      <c r="E2426" s="3" t="s">
        <v>4227</v>
      </c>
      <c r="F2426" s="4">
        <v>43768.67291666667</v>
      </c>
      <c r="G2426" s="3"/>
      <c r="H2426" s="3"/>
      <c r="I2426" s="3" t="s">
        <v>7043</v>
      </c>
      <c r="J2426" s="3"/>
      <c r="K2426" s="3"/>
      <c r="L2426" s="5" t="str">
        <f>HYPERLINK("NATIVE_FILES\FOIA-FWS-2020-00724-0002425.gdbtable","FOIA-FWS-2020-00724-0002425.gdbtable")</f>
        <v>FOIA-FWS-2020-00724-0002425.gdbtable</v>
      </c>
    </row>
    <row r="2427" spans="1:12" ht="28.8" x14ac:dyDescent="0.55000000000000004">
      <c r="A2427" s="9" t="str">
        <f>HYPERLINK("PDF\FOIA-FWS-2020-00724-0002426.pdf","FOIA-FWS-2020-00724-0002426")</f>
        <v>FOIA-FWS-2020-00724-0002426</v>
      </c>
      <c r="B2427" s="3" t="s">
        <v>4224</v>
      </c>
      <c r="C2427" s="3" t="s">
        <v>234</v>
      </c>
      <c r="D2427" s="3" t="s">
        <v>160</v>
      </c>
      <c r="E2427" s="3" t="s">
        <v>4228</v>
      </c>
      <c r="F2427" s="4">
        <v>43768.67291666667</v>
      </c>
      <c r="G2427" s="3"/>
      <c r="H2427" s="3"/>
      <c r="I2427" s="3" t="s">
        <v>7043</v>
      </c>
      <c r="J2427" s="3"/>
      <c r="K2427" s="3"/>
      <c r="L2427" s="5" t="str">
        <f>HYPERLINK("NATIVE_FILES\FOIA-FWS-2020-00724-0002426.gdbtablx","FOIA-FWS-2020-00724-0002426.gdbtablx")</f>
        <v>FOIA-FWS-2020-00724-0002426.gdbtablx</v>
      </c>
    </row>
    <row r="2428" spans="1:12" ht="28.8" x14ac:dyDescent="0.55000000000000004">
      <c r="A2428" s="9" t="str">
        <f>HYPERLINK("PDF\FOIA-FWS-2020-00724-0002427.pdf","FOIA-FWS-2020-00724-0002427")</f>
        <v>FOIA-FWS-2020-00724-0002427</v>
      </c>
      <c r="B2428" s="3" t="s">
        <v>4224</v>
      </c>
      <c r="C2428" s="3" t="s">
        <v>234</v>
      </c>
      <c r="D2428" s="3" t="s">
        <v>160</v>
      </c>
      <c r="E2428" s="3" t="s">
        <v>4229</v>
      </c>
      <c r="F2428" s="4">
        <v>43768.67291666667</v>
      </c>
      <c r="G2428" s="3"/>
      <c r="H2428" s="3"/>
      <c r="I2428" s="3" t="s">
        <v>7043</v>
      </c>
      <c r="J2428" s="3"/>
      <c r="K2428" s="3"/>
      <c r="L2428" s="5" t="str">
        <f>HYPERLINK("NATIVE_FILES\FOIA-FWS-2020-00724-0002427.atx","FOIA-FWS-2020-00724-0002427.atx")</f>
        <v>FOIA-FWS-2020-00724-0002427.atx</v>
      </c>
    </row>
    <row r="2429" spans="1:12" ht="28.8" x14ac:dyDescent="0.55000000000000004">
      <c r="A2429" s="9" t="str">
        <f>HYPERLINK("PDF\FOIA-FWS-2020-00724-0002428.pdf","FOIA-FWS-2020-00724-0002428")</f>
        <v>FOIA-FWS-2020-00724-0002428</v>
      </c>
      <c r="B2429" s="3" t="s">
        <v>4224</v>
      </c>
      <c r="C2429" s="3" t="s">
        <v>234</v>
      </c>
      <c r="D2429" s="3" t="s">
        <v>160</v>
      </c>
      <c r="E2429" s="3" t="s">
        <v>4230</v>
      </c>
      <c r="F2429" s="4">
        <v>43768.67291666667</v>
      </c>
      <c r="G2429" s="3"/>
      <c r="H2429" s="3"/>
      <c r="I2429" s="3" t="s">
        <v>7043</v>
      </c>
      <c r="J2429" s="3"/>
      <c r="K2429" s="3"/>
      <c r="L2429" s="5" t="str">
        <f>HYPERLINK("NATIVE_FILES\FOIA-FWS-2020-00724-0002428.gdbtable","FOIA-FWS-2020-00724-0002428.gdbtable")</f>
        <v>FOIA-FWS-2020-00724-0002428.gdbtable</v>
      </c>
    </row>
    <row r="2430" spans="1:12" ht="28.8" x14ac:dyDescent="0.55000000000000004">
      <c r="A2430" s="9" t="str">
        <f>HYPERLINK("PDF\FOIA-FWS-2020-00724-0002429.pdf","FOIA-FWS-2020-00724-0002429")</f>
        <v>FOIA-FWS-2020-00724-0002429</v>
      </c>
      <c r="B2430" s="3" t="s">
        <v>4224</v>
      </c>
      <c r="C2430" s="3" t="s">
        <v>234</v>
      </c>
      <c r="D2430" s="3" t="s">
        <v>160</v>
      </c>
      <c r="E2430" s="3" t="s">
        <v>4231</v>
      </c>
      <c r="F2430" s="4">
        <v>43768.67291666667</v>
      </c>
      <c r="G2430" s="3"/>
      <c r="H2430" s="3"/>
      <c r="I2430" s="3" t="s">
        <v>7043</v>
      </c>
      <c r="J2430" s="3"/>
      <c r="K2430" s="3"/>
      <c r="L2430" s="5" t="str">
        <f>HYPERLINK("NATIVE_FILES\FOIA-FWS-2020-00724-0002429.gdbtablx","FOIA-FWS-2020-00724-0002429.gdbtablx")</f>
        <v>FOIA-FWS-2020-00724-0002429.gdbtablx</v>
      </c>
    </row>
    <row r="2431" spans="1:12" ht="28.8" x14ac:dyDescent="0.55000000000000004">
      <c r="A2431" s="9" t="str">
        <f>HYPERLINK("PDF\FOIA-FWS-2020-00724-0002430.pdf","FOIA-FWS-2020-00724-0002430")</f>
        <v>FOIA-FWS-2020-00724-0002430</v>
      </c>
      <c r="B2431" s="3" t="s">
        <v>4224</v>
      </c>
      <c r="C2431" s="3" t="s">
        <v>234</v>
      </c>
      <c r="D2431" s="3" t="s">
        <v>160</v>
      </c>
      <c r="E2431" s="3" t="s">
        <v>4232</v>
      </c>
      <c r="F2431" s="4">
        <v>43768.67291666667</v>
      </c>
      <c r="G2431" s="3"/>
      <c r="H2431" s="3"/>
      <c r="I2431" s="3" t="s">
        <v>7043</v>
      </c>
      <c r="J2431" s="3"/>
      <c r="K2431" s="3"/>
      <c r="L2431" s="5" t="str">
        <f>HYPERLINK("NATIVE_FILES\FOIA-FWS-2020-00724-0002430.gdbindexes","FOIA-FWS-2020-00724-0002430.gdbindexes")</f>
        <v>FOIA-FWS-2020-00724-0002430.gdbindexes</v>
      </c>
    </row>
    <row r="2432" spans="1:12" ht="28.8" x14ac:dyDescent="0.55000000000000004">
      <c r="A2432" s="9" t="str">
        <f>HYPERLINK("PDF\FOIA-FWS-2020-00724-0002431.pdf","FOIA-FWS-2020-00724-0002431")</f>
        <v>FOIA-FWS-2020-00724-0002431</v>
      </c>
      <c r="B2432" s="3" t="s">
        <v>4224</v>
      </c>
      <c r="C2432" s="3" t="s">
        <v>234</v>
      </c>
      <c r="D2432" s="3" t="s">
        <v>160</v>
      </c>
      <c r="E2432" s="3" t="s">
        <v>4233</v>
      </c>
      <c r="F2432" s="4">
        <v>43768.67291666667</v>
      </c>
      <c r="G2432" s="3"/>
      <c r="H2432" s="3"/>
      <c r="I2432" s="3" t="s">
        <v>7043</v>
      </c>
      <c r="J2432" s="3"/>
      <c r="K2432" s="3"/>
      <c r="L2432" s="5" t="str">
        <f>HYPERLINK("NATIVE_FILES\FOIA-FWS-2020-00724-0002431.gdbtable","FOIA-FWS-2020-00724-0002431.gdbtable")</f>
        <v>FOIA-FWS-2020-00724-0002431.gdbtable</v>
      </c>
    </row>
    <row r="2433" spans="1:12" ht="28.8" x14ac:dyDescent="0.55000000000000004">
      <c r="A2433" s="9" t="str">
        <f>HYPERLINK("PDF\FOIA-FWS-2020-00724-0002432.pdf","FOIA-FWS-2020-00724-0002432")</f>
        <v>FOIA-FWS-2020-00724-0002432</v>
      </c>
      <c r="B2433" s="3" t="s">
        <v>4224</v>
      </c>
      <c r="C2433" s="3" t="s">
        <v>234</v>
      </c>
      <c r="D2433" s="3" t="s">
        <v>160</v>
      </c>
      <c r="E2433" s="3" t="s">
        <v>4234</v>
      </c>
      <c r="F2433" s="4">
        <v>43768.67291666667</v>
      </c>
      <c r="G2433" s="3"/>
      <c r="H2433" s="3"/>
      <c r="I2433" s="3" t="s">
        <v>7043</v>
      </c>
      <c r="J2433" s="3"/>
      <c r="K2433" s="3"/>
      <c r="L2433" s="5" t="str">
        <f>HYPERLINK("NATIVE_FILES\FOIA-FWS-2020-00724-0002432.gdbtablx","FOIA-FWS-2020-00724-0002432.gdbtablx")</f>
        <v>FOIA-FWS-2020-00724-0002432.gdbtablx</v>
      </c>
    </row>
    <row r="2434" spans="1:12" ht="28.8" x14ac:dyDescent="0.55000000000000004">
      <c r="A2434" s="9" t="str">
        <f>HYPERLINK("PDF\FOIA-FWS-2020-00724-0002433.pdf","FOIA-FWS-2020-00724-0002433")</f>
        <v>FOIA-FWS-2020-00724-0002433</v>
      </c>
      <c r="B2434" s="3" t="s">
        <v>4224</v>
      </c>
      <c r="C2434" s="3" t="s">
        <v>234</v>
      </c>
      <c r="D2434" s="3" t="s">
        <v>160</v>
      </c>
      <c r="E2434" s="3" t="s">
        <v>4235</v>
      </c>
      <c r="F2434" s="4">
        <v>43768.67291666667</v>
      </c>
      <c r="G2434" s="3"/>
      <c r="H2434" s="3"/>
      <c r="I2434" s="3" t="s">
        <v>7043</v>
      </c>
      <c r="J2434" s="3"/>
      <c r="K2434" s="3"/>
      <c r="L2434" s="5" t="str">
        <f>HYPERLINK("NATIVE_FILES\FOIA-FWS-2020-00724-0002433.spx","FOIA-FWS-2020-00724-0002433.spx")</f>
        <v>FOIA-FWS-2020-00724-0002433.spx</v>
      </c>
    </row>
    <row r="2435" spans="1:12" ht="28.8" x14ac:dyDescent="0.55000000000000004">
      <c r="A2435" s="9" t="str">
        <f>HYPERLINK("PDF\FOIA-FWS-2020-00724-0002434.pdf","FOIA-FWS-2020-00724-0002434")</f>
        <v>FOIA-FWS-2020-00724-0002434</v>
      </c>
      <c r="B2435" s="3" t="s">
        <v>4224</v>
      </c>
      <c r="C2435" s="3" t="s">
        <v>234</v>
      </c>
      <c r="D2435" s="3" t="s">
        <v>160</v>
      </c>
      <c r="E2435" s="3" t="s">
        <v>4236</v>
      </c>
      <c r="F2435" s="4">
        <v>43768.67291666667</v>
      </c>
      <c r="G2435" s="3"/>
      <c r="H2435" s="3"/>
      <c r="I2435" s="3" t="s">
        <v>7043</v>
      </c>
      <c r="J2435" s="3"/>
      <c r="K2435" s="3"/>
      <c r="L2435" s="5" t="str">
        <f>HYPERLINK("NATIVE_FILES\FOIA-FWS-2020-00724-0002434.gdbindexes","FOIA-FWS-2020-00724-0002434.gdbindexes")</f>
        <v>FOIA-FWS-2020-00724-0002434.gdbindexes</v>
      </c>
    </row>
    <row r="2436" spans="1:12" ht="28.8" x14ac:dyDescent="0.55000000000000004">
      <c r="A2436" s="9" t="str">
        <f>HYPERLINK("PDF\FOIA-FWS-2020-00724-0002435.pdf","FOIA-FWS-2020-00724-0002435")</f>
        <v>FOIA-FWS-2020-00724-0002435</v>
      </c>
      <c r="B2436" s="3" t="s">
        <v>4224</v>
      </c>
      <c r="C2436" s="3" t="s">
        <v>234</v>
      </c>
      <c r="D2436" s="3" t="s">
        <v>160</v>
      </c>
      <c r="E2436" s="3" t="s">
        <v>4237</v>
      </c>
      <c r="F2436" s="4">
        <v>43768.67291666667</v>
      </c>
      <c r="G2436" s="3"/>
      <c r="H2436" s="3"/>
      <c r="I2436" s="3" t="s">
        <v>7043</v>
      </c>
      <c r="J2436" s="3"/>
      <c r="K2436" s="3"/>
      <c r="L2436" s="5" t="str">
        <f>HYPERLINK("NATIVE_FILES\FOIA-FWS-2020-00724-0002435.gdbtable","FOIA-FWS-2020-00724-0002435.gdbtable")</f>
        <v>FOIA-FWS-2020-00724-0002435.gdbtable</v>
      </c>
    </row>
    <row r="2437" spans="1:12" ht="28.8" x14ac:dyDescent="0.55000000000000004">
      <c r="A2437" s="9" t="str">
        <f>HYPERLINK("PDF\FOIA-FWS-2020-00724-0002436.pdf","FOIA-FWS-2020-00724-0002436")</f>
        <v>FOIA-FWS-2020-00724-0002436</v>
      </c>
      <c r="B2437" s="3" t="s">
        <v>4224</v>
      </c>
      <c r="C2437" s="3" t="s">
        <v>234</v>
      </c>
      <c r="D2437" s="3" t="s">
        <v>160</v>
      </c>
      <c r="E2437" s="3" t="s">
        <v>4238</v>
      </c>
      <c r="F2437" s="4">
        <v>43768.67291666667</v>
      </c>
      <c r="G2437" s="3"/>
      <c r="H2437" s="3"/>
      <c r="I2437" s="3" t="s">
        <v>7043</v>
      </c>
      <c r="J2437" s="3"/>
      <c r="K2437" s="3"/>
      <c r="L2437" s="5" t="str">
        <f>HYPERLINK("NATIVE_FILES\FOIA-FWS-2020-00724-0002436.gdbtablx","FOIA-FWS-2020-00724-0002436.gdbtablx")</f>
        <v>FOIA-FWS-2020-00724-0002436.gdbtablx</v>
      </c>
    </row>
    <row r="2438" spans="1:12" ht="28.8" x14ac:dyDescent="0.55000000000000004">
      <c r="A2438" s="9" t="str">
        <f>HYPERLINK("PDF\FOIA-FWS-2020-00724-0002437.pdf","FOIA-FWS-2020-00724-0002437")</f>
        <v>FOIA-FWS-2020-00724-0002437</v>
      </c>
      <c r="B2438" s="3" t="s">
        <v>4224</v>
      </c>
      <c r="C2438" s="3" t="s">
        <v>234</v>
      </c>
      <c r="D2438" s="3" t="s">
        <v>160</v>
      </c>
      <c r="E2438" s="3" t="s">
        <v>4239</v>
      </c>
      <c r="F2438" s="4">
        <v>43768.67291666667</v>
      </c>
      <c r="G2438" s="3"/>
      <c r="H2438" s="3"/>
      <c r="I2438" s="3" t="s">
        <v>7043</v>
      </c>
      <c r="J2438" s="3"/>
      <c r="K2438" s="3"/>
      <c r="L2438" s="5" t="str">
        <f>HYPERLINK("NATIVE_FILES\FOIA-FWS-2020-00724-0002437.atx","FOIA-FWS-2020-00724-0002437.atx")</f>
        <v>FOIA-FWS-2020-00724-0002437.atx</v>
      </c>
    </row>
    <row r="2439" spans="1:12" ht="28.8" x14ac:dyDescent="0.55000000000000004">
      <c r="A2439" s="9" t="str">
        <f>HYPERLINK("PDF\FOIA-FWS-2020-00724-0002438.pdf","FOIA-FWS-2020-00724-0002438")</f>
        <v>FOIA-FWS-2020-00724-0002438</v>
      </c>
      <c r="B2439" s="3" t="s">
        <v>4224</v>
      </c>
      <c r="C2439" s="3" t="s">
        <v>234</v>
      </c>
      <c r="D2439" s="3" t="s">
        <v>160</v>
      </c>
      <c r="E2439" s="3" t="s">
        <v>4240</v>
      </c>
      <c r="F2439" s="4">
        <v>43768.67291666667</v>
      </c>
      <c r="G2439" s="3"/>
      <c r="H2439" s="3"/>
      <c r="I2439" s="3" t="s">
        <v>7043</v>
      </c>
      <c r="J2439" s="3"/>
      <c r="K2439" s="3"/>
      <c r="L2439" s="5" t="str">
        <f>HYPERLINK("NATIVE_FILES\FOIA-FWS-2020-00724-0002438.atx","FOIA-FWS-2020-00724-0002438.atx")</f>
        <v>FOIA-FWS-2020-00724-0002438.atx</v>
      </c>
    </row>
    <row r="2440" spans="1:12" ht="28.8" x14ac:dyDescent="0.55000000000000004">
      <c r="A2440" s="9" t="str">
        <f>HYPERLINK("PDF\FOIA-FWS-2020-00724-0002439.pdf","FOIA-FWS-2020-00724-0002439")</f>
        <v>FOIA-FWS-2020-00724-0002439</v>
      </c>
      <c r="B2440" s="3" t="s">
        <v>4224</v>
      </c>
      <c r="C2440" s="3" t="s">
        <v>234</v>
      </c>
      <c r="D2440" s="3" t="s">
        <v>160</v>
      </c>
      <c r="E2440" s="3" t="s">
        <v>4241</v>
      </c>
      <c r="F2440" s="4">
        <v>43768.67291666667</v>
      </c>
      <c r="G2440" s="3"/>
      <c r="H2440" s="3"/>
      <c r="I2440" s="3" t="s">
        <v>7043</v>
      </c>
      <c r="J2440" s="3"/>
      <c r="K2440" s="3"/>
      <c r="L2440" s="5" t="str">
        <f>HYPERLINK("NATIVE_FILES\FOIA-FWS-2020-00724-0002439.atx","FOIA-FWS-2020-00724-0002439.atx")</f>
        <v>FOIA-FWS-2020-00724-0002439.atx</v>
      </c>
    </row>
    <row r="2441" spans="1:12" ht="28.8" x14ac:dyDescent="0.55000000000000004">
      <c r="A2441" s="9" t="str">
        <f>HYPERLINK("PDF\FOIA-FWS-2020-00724-0002440.pdf","FOIA-FWS-2020-00724-0002440")</f>
        <v>FOIA-FWS-2020-00724-0002440</v>
      </c>
      <c r="B2441" s="3" t="s">
        <v>4224</v>
      </c>
      <c r="C2441" s="3" t="s">
        <v>234</v>
      </c>
      <c r="D2441" s="3" t="s">
        <v>160</v>
      </c>
      <c r="E2441" s="3" t="s">
        <v>4242</v>
      </c>
      <c r="F2441" s="4">
        <v>43768.67291666667</v>
      </c>
      <c r="G2441" s="3"/>
      <c r="H2441" s="3"/>
      <c r="I2441" s="3" t="s">
        <v>7043</v>
      </c>
      <c r="J2441" s="3"/>
      <c r="K2441" s="3"/>
      <c r="L2441" s="5" t="str">
        <f>HYPERLINK("NATIVE_FILES\FOIA-FWS-2020-00724-0002440.freelist","FOIA-FWS-2020-00724-0002440.freelist")</f>
        <v>FOIA-FWS-2020-00724-0002440.freelist</v>
      </c>
    </row>
    <row r="2442" spans="1:12" ht="28.8" x14ac:dyDescent="0.55000000000000004">
      <c r="A2442" s="9" t="str">
        <f>HYPERLINK("PDF\FOIA-FWS-2020-00724-0002441.pdf","FOIA-FWS-2020-00724-0002441")</f>
        <v>FOIA-FWS-2020-00724-0002441</v>
      </c>
      <c r="B2442" s="3" t="s">
        <v>4224</v>
      </c>
      <c r="C2442" s="3" t="s">
        <v>234</v>
      </c>
      <c r="D2442" s="3" t="s">
        <v>160</v>
      </c>
      <c r="E2442" s="3" t="s">
        <v>4243</v>
      </c>
      <c r="F2442" s="4">
        <v>43768.67291666667</v>
      </c>
      <c r="G2442" s="3"/>
      <c r="H2442" s="3"/>
      <c r="I2442" s="3" t="s">
        <v>7043</v>
      </c>
      <c r="J2442" s="3"/>
      <c r="K2442" s="3"/>
      <c r="L2442" s="5" t="str">
        <f>HYPERLINK("NATIVE_FILES\FOIA-FWS-2020-00724-0002441.gdbindexes","FOIA-FWS-2020-00724-0002441.gdbindexes")</f>
        <v>FOIA-FWS-2020-00724-0002441.gdbindexes</v>
      </c>
    </row>
    <row r="2443" spans="1:12" ht="28.8" x14ac:dyDescent="0.55000000000000004">
      <c r="A2443" s="9" t="str">
        <f>HYPERLINK("PDF\FOIA-FWS-2020-00724-0002442.pdf","FOIA-FWS-2020-00724-0002442")</f>
        <v>FOIA-FWS-2020-00724-0002442</v>
      </c>
      <c r="B2443" s="3" t="s">
        <v>4224</v>
      </c>
      <c r="C2443" s="3" t="s">
        <v>234</v>
      </c>
      <c r="D2443" s="3" t="s">
        <v>160</v>
      </c>
      <c r="E2443" s="3" t="s">
        <v>4244</v>
      </c>
      <c r="F2443" s="4">
        <v>43768.67291666667</v>
      </c>
      <c r="G2443" s="3"/>
      <c r="H2443" s="3"/>
      <c r="I2443" s="3" t="s">
        <v>7043</v>
      </c>
      <c r="J2443" s="3"/>
      <c r="K2443" s="3"/>
      <c r="L2443" s="5" t="str">
        <f>HYPERLINK("NATIVE_FILES\FOIA-FWS-2020-00724-0002442.gdbtable","FOIA-FWS-2020-00724-0002442.gdbtable")</f>
        <v>FOIA-FWS-2020-00724-0002442.gdbtable</v>
      </c>
    </row>
    <row r="2444" spans="1:12" ht="28.8" x14ac:dyDescent="0.55000000000000004">
      <c r="A2444" s="9" t="str">
        <f>HYPERLINK("PDF\FOIA-FWS-2020-00724-0002443.pdf","FOIA-FWS-2020-00724-0002443")</f>
        <v>FOIA-FWS-2020-00724-0002443</v>
      </c>
      <c r="B2444" s="3" t="s">
        <v>4224</v>
      </c>
      <c r="C2444" s="3" t="s">
        <v>234</v>
      </c>
      <c r="D2444" s="3" t="s">
        <v>160</v>
      </c>
      <c r="E2444" s="3" t="s">
        <v>4245</v>
      </c>
      <c r="F2444" s="4">
        <v>43768.67291666667</v>
      </c>
      <c r="G2444" s="3"/>
      <c r="H2444" s="3"/>
      <c r="I2444" s="3" t="s">
        <v>7043</v>
      </c>
      <c r="J2444" s="3"/>
      <c r="K2444" s="3"/>
      <c r="L2444" s="5" t="str">
        <f>HYPERLINK("NATIVE_FILES\FOIA-FWS-2020-00724-0002443.gdbtablx","FOIA-FWS-2020-00724-0002443.gdbtablx")</f>
        <v>FOIA-FWS-2020-00724-0002443.gdbtablx</v>
      </c>
    </row>
    <row r="2445" spans="1:12" ht="28.8" x14ac:dyDescent="0.55000000000000004">
      <c r="A2445" s="9" t="str">
        <f>HYPERLINK("PDF\FOIA-FWS-2020-00724-0002444.pdf","FOIA-FWS-2020-00724-0002444")</f>
        <v>FOIA-FWS-2020-00724-0002444</v>
      </c>
      <c r="B2445" s="3" t="s">
        <v>4224</v>
      </c>
      <c r="C2445" s="3" t="s">
        <v>234</v>
      </c>
      <c r="D2445" s="3" t="s">
        <v>160</v>
      </c>
      <c r="E2445" s="3" t="s">
        <v>4246</v>
      </c>
      <c r="F2445" s="4">
        <v>43768.67291666667</v>
      </c>
      <c r="G2445" s="3"/>
      <c r="H2445" s="3"/>
      <c r="I2445" s="3" t="s">
        <v>7043</v>
      </c>
      <c r="J2445" s="3"/>
      <c r="K2445" s="3"/>
      <c r="L2445" s="5" t="str">
        <f>HYPERLINK("NATIVE_FILES\FOIA-FWS-2020-00724-0002444.spx","FOIA-FWS-2020-00724-0002444.spx")</f>
        <v>FOIA-FWS-2020-00724-0002444.spx</v>
      </c>
    </row>
    <row r="2446" spans="1:12" ht="28.8" x14ac:dyDescent="0.55000000000000004">
      <c r="A2446" s="9" t="str">
        <f>HYPERLINK("PDF\FOIA-FWS-2020-00724-0002445.pdf","FOIA-FWS-2020-00724-0002445")</f>
        <v>FOIA-FWS-2020-00724-0002445</v>
      </c>
      <c r="B2446" s="3" t="s">
        <v>4224</v>
      </c>
      <c r="C2446" s="3" t="s">
        <v>234</v>
      </c>
      <c r="D2446" s="3" t="s">
        <v>160</v>
      </c>
      <c r="E2446" s="3" t="s">
        <v>4247</v>
      </c>
      <c r="F2446" s="4">
        <v>43768.67291666667</v>
      </c>
      <c r="G2446" s="3"/>
      <c r="H2446" s="3"/>
      <c r="I2446" s="3" t="s">
        <v>7043</v>
      </c>
      <c r="J2446" s="3"/>
      <c r="K2446" s="3"/>
      <c r="L2446" s="5" t="str">
        <f>HYPERLINK("NATIVE_FILES\FOIA-FWS-2020-00724-0002445.atx","FOIA-FWS-2020-00724-0002445.atx")</f>
        <v>FOIA-FWS-2020-00724-0002445.atx</v>
      </c>
    </row>
    <row r="2447" spans="1:12" ht="28.8" x14ac:dyDescent="0.55000000000000004">
      <c r="A2447" s="9" t="str">
        <f>HYPERLINK("PDF\FOIA-FWS-2020-00724-0002446.pdf","FOIA-FWS-2020-00724-0002446")</f>
        <v>FOIA-FWS-2020-00724-0002446</v>
      </c>
      <c r="B2447" s="3" t="s">
        <v>4224</v>
      </c>
      <c r="C2447" s="3" t="s">
        <v>234</v>
      </c>
      <c r="D2447" s="3" t="s">
        <v>160</v>
      </c>
      <c r="E2447" s="3" t="s">
        <v>4248</v>
      </c>
      <c r="F2447" s="4">
        <v>43768.67291666667</v>
      </c>
      <c r="G2447" s="3"/>
      <c r="H2447" s="3"/>
      <c r="I2447" s="3" t="s">
        <v>7043</v>
      </c>
      <c r="J2447" s="3"/>
      <c r="K2447" s="3"/>
      <c r="L2447" s="5" t="str">
        <f>HYPERLINK("NATIVE_FILES\FOIA-FWS-2020-00724-0002446.atx","FOIA-FWS-2020-00724-0002446.atx")</f>
        <v>FOIA-FWS-2020-00724-0002446.atx</v>
      </c>
    </row>
    <row r="2448" spans="1:12" ht="28.8" x14ac:dyDescent="0.55000000000000004">
      <c r="A2448" s="9" t="str">
        <f>HYPERLINK("PDF\FOIA-FWS-2020-00724-0002447.pdf","FOIA-FWS-2020-00724-0002447")</f>
        <v>FOIA-FWS-2020-00724-0002447</v>
      </c>
      <c r="B2448" s="3" t="s">
        <v>4224</v>
      </c>
      <c r="C2448" s="3" t="s">
        <v>234</v>
      </c>
      <c r="D2448" s="3" t="s">
        <v>160</v>
      </c>
      <c r="E2448" s="3" t="s">
        <v>4249</v>
      </c>
      <c r="F2448" s="4">
        <v>43768.67291666667</v>
      </c>
      <c r="G2448" s="3"/>
      <c r="H2448" s="3"/>
      <c r="I2448" s="3" t="s">
        <v>7043</v>
      </c>
      <c r="J2448" s="3"/>
      <c r="K2448" s="3"/>
      <c r="L2448" s="5" t="str">
        <f>HYPERLINK("NATIVE_FILES\FOIA-FWS-2020-00724-0002447.atx","FOIA-FWS-2020-00724-0002447.atx")</f>
        <v>FOIA-FWS-2020-00724-0002447.atx</v>
      </c>
    </row>
    <row r="2449" spans="1:12" ht="28.8" x14ac:dyDescent="0.55000000000000004">
      <c r="A2449" s="9" t="str">
        <f>HYPERLINK("PDF\FOIA-FWS-2020-00724-0002448.pdf","FOIA-FWS-2020-00724-0002448")</f>
        <v>FOIA-FWS-2020-00724-0002448</v>
      </c>
      <c r="B2449" s="3" t="s">
        <v>4224</v>
      </c>
      <c r="C2449" s="3" t="s">
        <v>234</v>
      </c>
      <c r="D2449" s="3" t="s">
        <v>160</v>
      </c>
      <c r="E2449" s="3" t="s">
        <v>4250</v>
      </c>
      <c r="F2449" s="4">
        <v>43768.67291666667</v>
      </c>
      <c r="G2449" s="3"/>
      <c r="H2449" s="3"/>
      <c r="I2449" s="3" t="s">
        <v>7043</v>
      </c>
      <c r="J2449" s="3"/>
      <c r="K2449" s="3"/>
      <c r="L2449" s="5" t="str">
        <f>HYPERLINK("NATIVE_FILES\FOIA-FWS-2020-00724-0002448.gdbindexes","FOIA-FWS-2020-00724-0002448.gdbindexes")</f>
        <v>FOIA-FWS-2020-00724-0002448.gdbindexes</v>
      </c>
    </row>
    <row r="2450" spans="1:12" ht="28.8" x14ac:dyDescent="0.55000000000000004">
      <c r="A2450" s="9" t="str">
        <f>HYPERLINK("PDF\FOIA-FWS-2020-00724-0002449.pdf","FOIA-FWS-2020-00724-0002449")</f>
        <v>FOIA-FWS-2020-00724-0002449</v>
      </c>
      <c r="B2450" s="3" t="s">
        <v>4224</v>
      </c>
      <c r="C2450" s="3" t="s">
        <v>234</v>
      </c>
      <c r="D2450" s="3" t="s">
        <v>160</v>
      </c>
      <c r="E2450" s="3" t="s">
        <v>4251</v>
      </c>
      <c r="F2450" s="4">
        <v>43768.67291666667</v>
      </c>
      <c r="G2450" s="3"/>
      <c r="H2450" s="3"/>
      <c r="I2450" s="3" t="s">
        <v>7043</v>
      </c>
      <c r="J2450" s="3"/>
      <c r="K2450" s="3"/>
      <c r="L2450" s="5" t="str">
        <f>HYPERLINK("NATIVE_FILES\FOIA-FWS-2020-00724-0002449.gdbtable","FOIA-FWS-2020-00724-0002449.gdbtable")</f>
        <v>FOIA-FWS-2020-00724-0002449.gdbtable</v>
      </c>
    </row>
    <row r="2451" spans="1:12" ht="28.8" x14ac:dyDescent="0.55000000000000004">
      <c r="A2451" s="9" t="str">
        <f>HYPERLINK("PDF\FOIA-FWS-2020-00724-0002450.pdf","FOIA-FWS-2020-00724-0002450")</f>
        <v>FOIA-FWS-2020-00724-0002450</v>
      </c>
      <c r="B2451" s="3" t="s">
        <v>4224</v>
      </c>
      <c r="C2451" s="3" t="s">
        <v>234</v>
      </c>
      <c r="D2451" s="3" t="s">
        <v>160</v>
      </c>
      <c r="E2451" s="3" t="s">
        <v>4252</v>
      </c>
      <c r="F2451" s="4">
        <v>43768.67291666667</v>
      </c>
      <c r="G2451" s="3"/>
      <c r="H2451" s="3"/>
      <c r="I2451" s="3" t="s">
        <v>7043</v>
      </c>
      <c r="J2451" s="3"/>
      <c r="K2451" s="3"/>
      <c r="L2451" s="5" t="str">
        <f>HYPERLINK("NATIVE_FILES\FOIA-FWS-2020-00724-0002450.gdbtablx","FOIA-FWS-2020-00724-0002450.gdbtablx")</f>
        <v>FOIA-FWS-2020-00724-0002450.gdbtablx</v>
      </c>
    </row>
    <row r="2452" spans="1:12" ht="28.8" x14ac:dyDescent="0.55000000000000004">
      <c r="A2452" s="9" t="str">
        <f>HYPERLINK("PDF\FOIA-FWS-2020-00724-0002451.pdf","FOIA-FWS-2020-00724-0002451")</f>
        <v>FOIA-FWS-2020-00724-0002451</v>
      </c>
      <c r="B2452" s="3" t="s">
        <v>4224</v>
      </c>
      <c r="C2452" s="3" t="s">
        <v>234</v>
      </c>
      <c r="D2452" s="3" t="s">
        <v>160</v>
      </c>
      <c r="E2452" s="3" t="s">
        <v>4253</v>
      </c>
      <c r="F2452" s="4">
        <v>43768.67291666667</v>
      </c>
      <c r="G2452" s="3"/>
      <c r="H2452" s="3"/>
      <c r="I2452" s="3" t="s">
        <v>7043</v>
      </c>
      <c r="J2452" s="3"/>
      <c r="K2452" s="3"/>
      <c r="L2452" s="5" t="str">
        <f>HYPERLINK("NATIVE_FILES\FOIA-FWS-2020-00724-0002451.atx","FOIA-FWS-2020-00724-0002451.atx")</f>
        <v>FOIA-FWS-2020-00724-0002451.atx</v>
      </c>
    </row>
    <row r="2453" spans="1:12" ht="28.8" x14ac:dyDescent="0.55000000000000004">
      <c r="A2453" s="9" t="str">
        <f>HYPERLINK("PDF\FOIA-FWS-2020-00724-0002452.pdf","FOIA-FWS-2020-00724-0002452")</f>
        <v>FOIA-FWS-2020-00724-0002452</v>
      </c>
      <c r="B2453" s="3" t="s">
        <v>4224</v>
      </c>
      <c r="C2453" s="3" t="s">
        <v>234</v>
      </c>
      <c r="D2453" s="3" t="s">
        <v>160</v>
      </c>
      <c r="E2453" s="3" t="s">
        <v>4254</v>
      </c>
      <c r="F2453" s="4">
        <v>43768.67291666667</v>
      </c>
      <c r="G2453" s="3"/>
      <c r="H2453" s="3"/>
      <c r="I2453" s="3" t="s">
        <v>7043</v>
      </c>
      <c r="J2453" s="3"/>
      <c r="K2453" s="3"/>
      <c r="L2453" s="5" t="str">
        <f>HYPERLINK("NATIVE_FILES\FOIA-FWS-2020-00724-0002452.atx","FOIA-FWS-2020-00724-0002452.atx")</f>
        <v>FOIA-FWS-2020-00724-0002452.atx</v>
      </c>
    </row>
    <row r="2454" spans="1:12" ht="28.8" x14ac:dyDescent="0.55000000000000004">
      <c r="A2454" s="9" t="str">
        <f>HYPERLINK("PDF\FOIA-FWS-2020-00724-0002453.pdf","FOIA-FWS-2020-00724-0002453")</f>
        <v>FOIA-FWS-2020-00724-0002453</v>
      </c>
      <c r="B2454" s="3" t="s">
        <v>4224</v>
      </c>
      <c r="C2454" s="3" t="s">
        <v>234</v>
      </c>
      <c r="D2454" s="3" t="s">
        <v>160</v>
      </c>
      <c r="E2454" s="3" t="s">
        <v>4255</v>
      </c>
      <c r="F2454" s="4">
        <v>43768.67291666667</v>
      </c>
      <c r="G2454" s="3"/>
      <c r="H2454" s="3"/>
      <c r="I2454" s="3" t="s">
        <v>7043</v>
      </c>
      <c r="J2454" s="3"/>
      <c r="K2454" s="3"/>
      <c r="L2454" s="5" t="str">
        <f>HYPERLINK("NATIVE_FILES\FOIA-FWS-2020-00724-0002453.atx","FOIA-FWS-2020-00724-0002453.atx")</f>
        <v>FOIA-FWS-2020-00724-0002453.atx</v>
      </c>
    </row>
    <row r="2455" spans="1:12" ht="28.8" x14ac:dyDescent="0.55000000000000004">
      <c r="A2455" s="9" t="str">
        <f>HYPERLINK("PDF\FOIA-FWS-2020-00724-0002454.pdf","FOIA-FWS-2020-00724-0002454")</f>
        <v>FOIA-FWS-2020-00724-0002454</v>
      </c>
      <c r="B2455" s="3" t="s">
        <v>4224</v>
      </c>
      <c r="C2455" s="3" t="s">
        <v>234</v>
      </c>
      <c r="D2455" s="3" t="s">
        <v>160</v>
      </c>
      <c r="E2455" s="3" t="s">
        <v>4256</v>
      </c>
      <c r="F2455" s="4">
        <v>43768.67291666667</v>
      </c>
      <c r="G2455" s="3"/>
      <c r="H2455" s="3"/>
      <c r="I2455" s="3" t="s">
        <v>7043</v>
      </c>
      <c r="J2455" s="3"/>
      <c r="K2455" s="3"/>
      <c r="L2455" s="5" t="str">
        <f>HYPERLINK("NATIVE_FILES\FOIA-FWS-2020-00724-0002454.atx","FOIA-FWS-2020-00724-0002454.atx")</f>
        <v>FOIA-FWS-2020-00724-0002454.atx</v>
      </c>
    </row>
    <row r="2456" spans="1:12" ht="28.8" x14ac:dyDescent="0.55000000000000004">
      <c r="A2456" s="9" t="str">
        <f>HYPERLINK("PDF\FOIA-FWS-2020-00724-0002455.pdf","FOIA-FWS-2020-00724-0002455")</f>
        <v>FOIA-FWS-2020-00724-0002455</v>
      </c>
      <c r="B2456" s="3" t="s">
        <v>4224</v>
      </c>
      <c r="C2456" s="3" t="s">
        <v>234</v>
      </c>
      <c r="D2456" s="3" t="s">
        <v>160</v>
      </c>
      <c r="E2456" s="3" t="s">
        <v>4257</v>
      </c>
      <c r="F2456" s="4">
        <v>43768.67291666667</v>
      </c>
      <c r="G2456" s="3"/>
      <c r="H2456" s="3"/>
      <c r="I2456" s="3" t="s">
        <v>7043</v>
      </c>
      <c r="J2456" s="3"/>
      <c r="K2456" s="3"/>
      <c r="L2456" s="5" t="str">
        <f>HYPERLINK("NATIVE_FILES\FOIA-FWS-2020-00724-0002455.gdbindexes","FOIA-FWS-2020-00724-0002455.gdbindexes")</f>
        <v>FOIA-FWS-2020-00724-0002455.gdbindexes</v>
      </c>
    </row>
    <row r="2457" spans="1:12" ht="28.8" x14ac:dyDescent="0.55000000000000004">
      <c r="A2457" s="9" t="str">
        <f>HYPERLINK("PDF\FOIA-FWS-2020-00724-0002456.pdf","FOIA-FWS-2020-00724-0002456")</f>
        <v>FOIA-FWS-2020-00724-0002456</v>
      </c>
      <c r="B2457" s="3" t="s">
        <v>4224</v>
      </c>
      <c r="C2457" s="3" t="s">
        <v>234</v>
      </c>
      <c r="D2457" s="3" t="s">
        <v>160</v>
      </c>
      <c r="E2457" s="3" t="s">
        <v>4258</v>
      </c>
      <c r="F2457" s="4">
        <v>43768.67291666667</v>
      </c>
      <c r="G2457" s="3"/>
      <c r="H2457" s="3"/>
      <c r="I2457" s="3" t="s">
        <v>7043</v>
      </c>
      <c r="J2457" s="3"/>
      <c r="K2457" s="3"/>
      <c r="L2457" s="5" t="str">
        <f>HYPERLINK("NATIVE_FILES\FOIA-FWS-2020-00724-0002456.gdbtable","FOIA-FWS-2020-00724-0002456.gdbtable")</f>
        <v>FOIA-FWS-2020-00724-0002456.gdbtable</v>
      </c>
    </row>
    <row r="2458" spans="1:12" ht="28.8" x14ac:dyDescent="0.55000000000000004">
      <c r="A2458" s="9" t="str">
        <f>HYPERLINK("PDF\FOIA-FWS-2020-00724-0002457.pdf","FOIA-FWS-2020-00724-0002457")</f>
        <v>FOIA-FWS-2020-00724-0002457</v>
      </c>
      <c r="B2458" s="3" t="s">
        <v>4224</v>
      </c>
      <c r="C2458" s="3" t="s">
        <v>234</v>
      </c>
      <c r="D2458" s="3" t="s">
        <v>160</v>
      </c>
      <c r="E2458" s="3" t="s">
        <v>4259</v>
      </c>
      <c r="F2458" s="4">
        <v>43768.67291666667</v>
      </c>
      <c r="G2458" s="3"/>
      <c r="H2458" s="3"/>
      <c r="I2458" s="3" t="s">
        <v>7043</v>
      </c>
      <c r="J2458" s="3"/>
      <c r="K2458" s="3"/>
      <c r="L2458" s="5" t="str">
        <f>HYPERLINK("NATIVE_FILES\FOIA-FWS-2020-00724-0002457.gdbtablx","FOIA-FWS-2020-00724-0002457.gdbtablx")</f>
        <v>FOIA-FWS-2020-00724-0002457.gdbtablx</v>
      </c>
    </row>
    <row r="2459" spans="1:12" ht="28.8" x14ac:dyDescent="0.55000000000000004">
      <c r="A2459" s="9" t="str">
        <f>HYPERLINK("PDF\FOIA-FWS-2020-00724-0002458.pdf","FOIA-FWS-2020-00724-0002458")</f>
        <v>FOIA-FWS-2020-00724-0002458</v>
      </c>
      <c r="B2459" s="3" t="s">
        <v>4224</v>
      </c>
      <c r="C2459" s="3" t="s">
        <v>234</v>
      </c>
      <c r="D2459" s="3" t="s">
        <v>160</v>
      </c>
      <c r="E2459" s="3" t="s">
        <v>4260</v>
      </c>
      <c r="F2459" s="4">
        <v>43768.67291666667</v>
      </c>
      <c r="G2459" s="3"/>
      <c r="H2459" s="3"/>
      <c r="I2459" s="3" t="s">
        <v>7043</v>
      </c>
      <c r="J2459" s="3"/>
      <c r="K2459" s="3"/>
      <c r="L2459" s="5" t="str">
        <f>HYPERLINK("NATIVE_FILES\FOIA-FWS-2020-00724-0002458.atx","FOIA-FWS-2020-00724-0002458.atx")</f>
        <v>FOIA-FWS-2020-00724-0002458.atx</v>
      </c>
    </row>
    <row r="2460" spans="1:12" ht="28.8" x14ac:dyDescent="0.55000000000000004">
      <c r="A2460" s="9" t="str">
        <f>HYPERLINK("PDF\FOIA-FWS-2020-00724-0002459.pdf","FOIA-FWS-2020-00724-0002459")</f>
        <v>FOIA-FWS-2020-00724-0002459</v>
      </c>
      <c r="B2460" s="3" t="s">
        <v>4224</v>
      </c>
      <c r="C2460" s="3" t="s">
        <v>234</v>
      </c>
      <c r="D2460" s="3" t="s">
        <v>160</v>
      </c>
      <c r="E2460" s="3" t="s">
        <v>4261</v>
      </c>
      <c r="F2460" s="4">
        <v>43768.67291666667</v>
      </c>
      <c r="G2460" s="3"/>
      <c r="H2460" s="3"/>
      <c r="I2460" s="3" t="s">
        <v>7043</v>
      </c>
      <c r="J2460" s="3"/>
      <c r="K2460" s="3"/>
      <c r="L2460" s="5" t="str">
        <f>HYPERLINK("NATIVE_FILES\FOIA-FWS-2020-00724-0002459.atx","FOIA-FWS-2020-00724-0002459.atx")</f>
        <v>FOIA-FWS-2020-00724-0002459.atx</v>
      </c>
    </row>
    <row r="2461" spans="1:12" ht="28.8" x14ac:dyDescent="0.55000000000000004">
      <c r="A2461" s="9" t="str">
        <f>HYPERLINK("PDF\FOIA-FWS-2020-00724-0002460.pdf","FOIA-FWS-2020-00724-0002460")</f>
        <v>FOIA-FWS-2020-00724-0002460</v>
      </c>
      <c r="B2461" s="3" t="s">
        <v>4224</v>
      </c>
      <c r="C2461" s="3" t="s">
        <v>234</v>
      </c>
      <c r="D2461" s="3" t="s">
        <v>160</v>
      </c>
      <c r="E2461" s="3" t="s">
        <v>4262</v>
      </c>
      <c r="F2461" s="4">
        <v>43768.67291666667</v>
      </c>
      <c r="G2461" s="3"/>
      <c r="H2461" s="3"/>
      <c r="I2461" s="3" t="s">
        <v>7043</v>
      </c>
      <c r="J2461" s="3"/>
      <c r="K2461" s="3"/>
      <c r="L2461" s="5" t="str">
        <f>HYPERLINK("NATIVE_FILES\FOIA-FWS-2020-00724-0002460.atx","FOIA-FWS-2020-00724-0002460.atx")</f>
        <v>FOIA-FWS-2020-00724-0002460.atx</v>
      </c>
    </row>
    <row r="2462" spans="1:12" ht="28.8" x14ac:dyDescent="0.55000000000000004">
      <c r="A2462" s="9" t="str">
        <f>HYPERLINK("PDF\FOIA-FWS-2020-00724-0002461.pdf","FOIA-FWS-2020-00724-0002461")</f>
        <v>FOIA-FWS-2020-00724-0002461</v>
      </c>
      <c r="B2462" s="3" t="s">
        <v>4224</v>
      </c>
      <c r="C2462" s="3" t="s">
        <v>234</v>
      </c>
      <c r="D2462" s="3" t="s">
        <v>160</v>
      </c>
      <c r="E2462" s="3" t="s">
        <v>4263</v>
      </c>
      <c r="F2462" s="4">
        <v>43768.67291666667</v>
      </c>
      <c r="G2462" s="3"/>
      <c r="H2462" s="3"/>
      <c r="I2462" s="3" t="s">
        <v>7043</v>
      </c>
      <c r="J2462" s="3"/>
      <c r="K2462" s="3"/>
      <c r="L2462" s="5" t="str">
        <f>HYPERLINK("NATIVE_FILES\FOIA-FWS-2020-00724-0002461.atx","FOIA-FWS-2020-00724-0002461.atx")</f>
        <v>FOIA-FWS-2020-00724-0002461.atx</v>
      </c>
    </row>
    <row r="2463" spans="1:12" ht="28.8" x14ac:dyDescent="0.55000000000000004">
      <c r="A2463" s="9" t="str">
        <f>HYPERLINK("PDF\FOIA-FWS-2020-00724-0002462.pdf","FOIA-FWS-2020-00724-0002462")</f>
        <v>FOIA-FWS-2020-00724-0002462</v>
      </c>
      <c r="B2463" s="3" t="s">
        <v>4224</v>
      </c>
      <c r="C2463" s="3" t="s">
        <v>234</v>
      </c>
      <c r="D2463" s="3" t="s">
        <v>160</v>
      </c>
      <c r="E2463" s="3" t="s">
        <v>4264</v>
      </c>
      <c r="F2463" s="4">
        <v>43768.67291666667</v>
      </c>
      <c r="G2463" s="3"/>
      <c r="H2463" s="3"/>
      <c r="I2463" s="3" t="s">
        <v>7043</v>
      </c>
      <c r="J2463" s="3"/>
      <c r="K2463" s="3"/>
      <c r="L2463" s="5" t="str">
        <f>HYPERLINK("NATIVE_FILES\FOIA-FWS-2020-00724-0002462.atx","FOIA-FWS-2020-00724-0002462.atx")</f>
        <v>FOIA-FWS-2020-00724-0002462.atx</v>
      </c>
    </row>
    <row r="2464" spans="1:12" ht="28.8" x14ac:dyDescent="0.55000000000000004">
      <c r="A2464" s="9" t="str">
        <f>HYPERLINK("PDF\FOIA-FWS-2020-00724-0002463.pdf","FOIA-FWS-2020-00724-0002463")</f>
        <v>FOIA-FWS-2020-00724-0002463</v>
      </c>
      <c r="B2464" s="3" t="s">
        <v>4224</v>
      </c>
      <c r="C2464" s="3" t="s">
        <v>234</v>
      </c>
      <c r="D2464" s="3" t="s">
        <v>160</v>
      </c>
      <c r="E2464" s="3" t="s">
        <v>4265</v>
      </c>
      <c r="F2464" s="4">
        <v>43768.67291666667</v>
      </c>
      <c r="G2464" s="3"/>
      <c r="H2464" s="3"/>
      <c r="I2464" s="3" t="s">
        <v>7043</v>
      </c>
      <c r="J2464" s="3"/>
      <c r="K2464" s="3"/>
      <c r="L2464" s="5" t="str">
        <f>HYPERLINK("NATIVE_FILES\FOIA-FWS-2020-00724-0002463.atx","FOIA-FWS-2020-00724-0002463.atx")</f>
        <v>FOIA-FWS-2020-00724-0002463.atx</v>
      </c>
    </row>
    <row r="2465" spans="1:12" ht="28.8" x14ac:dyDescent="0.55000000000000004">
      <c r="A2465" s="9" t="str">
        <f>HYPERLINK("PDF\FOIA-FWS-2020-00724-0002464.pdf","FOIA-FWS-2020-00724-0002464")</f>
        <v>FOIA-FWS-2020-00724-0002464</v>
      </c>
      <c r="B2465" s="3" t="s">
        <v>4224</v>
      </c>
      <c r="C2465" s="3" t="s">
        <v>234</v>
      </c>
      <c r="D2465" s="3" t="s">
        <v>160</v>
      </c>
      <c r="E2465" s="3" t="s">
        <v>4266</v>
      </c>
      <c r="F2465" s="4">
        <v>43768.67291666667</v>
      </c>
      <c r="G2465" s="3"/>
      <c r="H2465" s="3"/>
      <c r="I2465" s="3" t="s">
        <v>7043</v>
      </c>
      <c r="J2465" s="3"/>
      <c r="K2465" s="3"/>
      <c r="L2465" s="5" t="str">
        <f>HYPERLINK("NATIVE_FILES\FOIA-FWS-2020-00724-0002464.gdbindexes","FOIA-FWS-2020-00724-0002464.gdbindexes")</f>
        <v>FOIA-FWS-2020-00724-0002464.gdbindexes</v>
      </c>
    </row>
    <row r="2466" spans="1:12" ht="28.8" x14ac:dyDescent="0.55000000000000004">
      <c r="A2466" s="9" t="str">
        <f>HYPERLINK("PDF\FOIA-FWS-2020-00724-0002465.pdf","FOIA-FWS-2020-00724-0002465")</f>
        <v>FOIA-FWS-2020-00724-0002465</v>
      </c>
      <c r="B2466" s="3" t="s">
        <v>4224</v>
      </c>
      <c r="C2466" s="3" t="s">
        <v>234</v>
      </c>
      <c r="D2466" s="3" t="s">
        <v>160</v>
      </c>
      <c r="E2466" s="3" t="s">
        <v>4267</v>
      </c>
      <c r="F2466" s="4">
        <v>43768.67291666667</v>
      </c>
      <c r="G2466" s="3"/>
      <c r="H2466" s="3"/>
      <c r="I2466" s="3" t="s">
        <v>7043</v>
      </c>
      <c r="J2466" s="3"/>
      <c r="K2466" s="3"/>
      <c r="L2466" s="5" t="str">
        <f>HYPERLINK("NATIVE_FILES\FOIA-FWS-2020-00724-0002465.gdbtable","FOIA-FWS-2020-00724-0002465.gdbtable")</f>
        <v>FOIA-FWS-2020-00724-0002465.gdbtable</v>
      </c>
    </row>
    <row r="2467" spans="1:12" ht="28.8" x14ac:dyDescent="0.55000000000000004">
      <c r="A2467" s="9" t="str">
        <f>HYPERLINK("PDF\FOIA-FWS-2020-00724-0002466.pdf","FOIA-FWS-2020-00724-0002466")</f>
        <v>FOIA-FWS-2020-00724-0002466</v>
      </c>
      <c r="B2467" s="3" t="s">
        <v>4224</v>
      </c>
      <c r="C2467" s="3" t="s">
        <v>234</v>
      </c>
      <c r="D2467" s="3" t="s">
        <v>160</v>
      </c>
      <c r="E2467" s="3" t="s">
        <v>4268</v>
      </c>
      <c r="F2467" s="4">
        <v>43768.67291666667</v>
      </c>
      <c r="G2467" s="3"/>
      <c r="H2467" s="3"/>
      <c r="I2467" s="3" t="s">
        <v>7043</v>
      </c>
      <c r="J2467" s="3"/>
      <c r="K2467" s="3"/>
      <c r="L2467" s="5" t="str">
        <f>HYPERLINK("NATIVE_FILES\FOIA-FWS-2020-00724-0002466.gdbtablx","FOIA-FWS-2020-00724-0002466.gdbtablx")</f>
        <v>FOIA-FWS-2020-00724-0002466.gdbtablx</v>
      </c>
    </row>
    <row r="2468" spans="1:12" ht="28.8" x14ac:dyDescent="0.55000000000000004">
      <c r="A2468" s="9" t="str">
        <f>HYPERLINK("PDF\FOIA-FWS-2020-00724-0002467.pdf","FOIA-FWS-2020-00724-0002467")</f>
        <v>FOIA-FWS-2020-00724-0002467</v>
      </c>
      <c r="B2468" s="3" t="s">
        <v>4224</v>
      </c>
      <c r="C2468" s="3" t="s">
        <v>234</v>
      </c>
      <c r="D2468" s="3" t="s">
        <v>160</v>
      </c>
      <c r="E2468" s="3" t="s">
        <v>4269</v>
      </c>
      <c r="F2468" s="4">
        <v>43768.67291666667</v>
      </c>
      <c r="G2468" s="3"/>
      <c r="H2468" s="3"/>
      <c r="I2468" s="3" t="s">
        <v>7043</v>
      </c>
      <c r="J2468" s="3"/>
      <c r="K2468" s="3"/>
      <c r="L2468" s="5" t="str">
        <f>HYPERLINK("NATIVE_FILES\FOIA-FWS-2020-00724-0002467","FOIA-FWS-2020-00724-0002467")</f>
        <v>FOIA-FWS-2020-00724-0002467</v>
      </c>
    </row>
    <row r="2469" spans="1:12" ht="28.8" x14ac:dyDescent="0.55000000000000004">
      <c r="A2469" s="9" t="str">
        <f>HYPERLINK("PDF\FOIA-FWS-2020-00724-0002468.pdf","FOIA-FWS-2020-00724-0002468")</f>
        <v>FOIA-FWS-2020-00724-0002468</v>
      </c>
      <c r="B2469" s="3" t="s">
        <v>4270</v>
      </c>
      <c r="C2469" s="3" t="s">
        <v>3</v>
      </c>
      <c r="D2469" s="3" t="s">
        <v>33</v>
      </c>
      <c r="E2469" s="3" t="s">
        <v>4271</v>
      </c>
      <c r="F2469" s="4">
        <v>43768.678472222222</v>
      </c>
      <c r="G2469" s="3" t="s">
        <v>872</v>
      </c>
      <c r="H2469" s="3" t="s">
        <v>963</v>
      </c>
      <c r="I2469" s="3" t="s">
        <v>7043</v>
      </c>
      <c r="J2469" s="3"/>
      <c r="K2469" s="3"/>
      <c r="L2469" s="5"/>
    </row>
    <row r="2470" spans="1:12" ht="28.8" x14ac:dyDescent="0.55000000000000004">
      <c r="A2470" s="9" t="str">
        <f>HYPERLINK("PDF\FOIA-FWS-2020-00724-0002469.pdf","FOIA-FWS-2020-00724-0002469")</f>
        <v>FOIA-FWS-2020-00724-0002469</v>
      </c>
      <c r="B2470" s="3" t="s">
        <v>4272</v>
      </c>
      <c r="C2470" s="3" t="s">
        <v>3</v>
      </c>
      <c r="D2470" s="3" t="s">
        <v>33</v>
      </c>
      <c r="E2470" s="3" t="s">
        <v>4273</v>
      </c>
      <c r="F2470" s="4">
        <v>43768.725694444445</v>
      </c>
      <c r="G2470" s="3" t="s">
        <v>872</v>
      </c>
      <c r="H2470" s="3" t="s">
        <v>955</v>
      </c>
      <c r="I2470" s="3" t="s">
        <v>7043</v>
      </c>
      <c r="J2470" s="3"/>
      <c r="K2470" s="3"/>
      <c r="L2470" s="5"/>
    </row>
    <row r="2471" spans="1:12" ht="28.8" x14ac:dyDescent="0.55000000000000004">
      <c r="A2471" s="9" t="str">
        <f>HYPERLINK("PDF\FOIA-FWS-2020-00724-0002470.pdf","FOIA-FWS-2020-00724-0002470")</f>
        <v>FOIA-FWS-2020-00724-0002470</v>
      </c>
      <c r="B2471" s="3" t="s">
        <v>4274</v>
      </c>
      <c r="C2471" s="3" t="s">
        <v>3</v>
      </c>
      <c r="D2471" s="3" t="s">
        <v>33</v>
      </c>
      <c r="E2471" s="3" t="s">
        <v>4275</v>
      </c>
      <c r="F2471" s="4">
        <v>43769.706250000003</v>
      </c>
      <c r="G2471" s="3" t="s">
        <v>945</v>
      </c>
      <c r="H2471" s="3" t="s">
        <v>862</v>
      </c>
      <c r="I2471" s="3" t="s">
        <v>7043</v>
      </c>
      <c r="J2471" s="3"/>
      <c r="K2471" s="3"/>
      <c r="L2471" s="5"/>
    </row>
    <row r="2472" spans="1:12" ht="28.8" x14ac:dyDescent="0.55000000000000004">
      <c r="A2472" s="9" t="str">
        <f>HYPERLINK("PDF\FOIA-FWS-2020-00724-0002471.pdf","FOIA-FWS-2020-00724-0002471")</f>
        <v>FOIA-FWS-2020-00724-0002471</v>
      </c>
      <c r="B2472" s="3" t="s">
        <v>4274</v>
      </c>
      <c r="C2472" s="3" t="s">
        <v>234</v>
      </c>
      <c r="D2472" s="3" t="s">
        <v>33</v>
      </c>
      <c r="E2472" s="3" t="s">
        <v>4276</v>
      </c>
      <c r="F2472" s="4">
        <v>43769.706250000003</v>
      </c>
      <c r="G2472" s="3"/>
      <c r="H2472" s="3"/>
      <c r="I2472" s="3" t="s">
        <v>7043</v>
      </c>
      <c r="J2472" s="3"/>
      <c r="K2472" s="3"/>
      <c r="L2472" s="5"/>
    </row>
    <row r="2473" spans="1:12" ht="28.8" x14ac:dyDescent="0.55000000000000004">
      <c r="A2473" s="9" t="str">
        <f>HYPERLINK("PDF\FOIA-FWS-2020-00724-0002472.pdf","FOIA-FWS-2020-00724-0002472")</f>
        <v>FOIA-FWS-2020-00724-0002472</v>
      </c>
      <c r="B2473" s="3" t="s">
        <v>4277</v>
      </c>
      <c r="C2473" s="3" t="s">
        <v>3</v>
      </c>
      <c r="D2473" s="3" t="s">
        <v>4</v>
      </c>
      <c r="E2473" s="3" t="s">
        <v>4278</v>
      </c>
      <c r="F2473" s="4">
        <v>43770</v>
      </c>
      <c r="G2473" s="3"/>
      <c r="H2473" s="3"/>
      <c r="I2473" s="3" t="s">
        <v>7043</v>
      </c>
      <c r="J2473" s="3"/>
      <c r="K2473" s="3"/>
      <c r="L2473" s="5"/>
    </row>
    <row r="2474" spans="1:12" ht="100.8" x14ac:dyDescent="0.55000000000000004">
      <c r="A2474" s="9" t="str">
        <f>HYPERLINK("PDF\FOIA-FWS-2020-00724-0002473.pdf","FOIA-FWS-2020-00724-0002473")</f>
        <v>FOIA-FWS-2020-00724-0002473</v>
      </c>
      <c r="B2474" s="3" t="s">
        <v>4279</v>
      </c>
      <c r="C2474" s="3" t="s">
        <v>3</v>
      </c>
      <c r="D2474" s="3" t="s">
        <v>33</v>
      </c>
      <c r="E2474" s="3" t="s">
        <v>4280</v>
      </c>
      <c r="F2474" s="4">
        <v>43770.586111111108</v>
      </c>
      <c r="G2474" s="3" t="s">
        <v>963</v>
      </c>
      <c r="H2474" s="3" t="s">
        <v>945</v>
      </c>
      <c r="I2474" s="3" t="s">
        <v>7043</v>
      </c>
      <c r="J2474" s="3"/>
      <c r="K2474" s="3"/>
      <c r="L2474" s="5"/>
    </row>
    <row r="2475" spans="1:12" ht="57.6" x14ac:dyDescent="0.55000000000000004">
      <c r="A2475" s="9" t="str">
        <f>HYPERLINK("PDF\FOIA-FWS-2020-00724-0002474.pdf","FOIA-FWS-2020-00724-0002474")</f>
        <v>FOIA-FWS-2020-00724-0002474</v>
      </c>
      <c r="B2475" s="3" t="s">
        <v>4281</v>
      </c>
      <c r="C2475" s="3" t="s">
        <v>3</v>
      </c>
      <c r="D2475" s="3" t="s">
        <v>33</v>
      </c>
      <c r="E2475" s="3" t="s">
        <v>4282</v>
      </c>
      <c r="F2475" s="4">
        <v>43770.594444444447</v>
      </c>
      <c r="G2475" s="3" t="s">
        <v>1715</v>
      </c>
      <c r="H2475" s="3" t="s">
        <v>963</v>
      </c>
      <c r="I2475" s="3" t="s">
        <v>7043</v>
      </c>
      <c r="J2475" s="3"/>
      <c r="K2475" s="3"/>
      <c r="L2475" s="5"/>
    </row>
    <row r="2476" spans="1:12" ht="57.6" x14ac:dyDescent="0.55000000000000004">
      <c r="A2476" s="9" t="str">
        <f>HYPERLINK("PDF\FOIA-FWS-2020-00724-0002475.pdf","FOIA-FWS-2020-00724-0002475")</f>
        <v>FOIA-FWS-2020-00724-0002475</v>
      </c>
      <c r="B2476" s="3" t="s">
        <v>4283</v>
      </c>
      <c r="C2476" s="3" t="s">
        <v>3</v>
      </c>
      <c r="D2476" s="3" t="s">
        <v>33</v>
      </c>
      <c r="E2476" s="3" t="s">
        <v>4285</v>
      </c>
      <c r="F2476" s="4">
        <v>43770.602083333331</v>
      </c>
      <c r="G2476" s="3" t="s">
        <v>1392</v>
      </c>
      <c r="H2476" s="3" t="s">
        <v>4284</v>
      </c>
      <c r="I2476" s="3" t="s">
        <v>7043</v>
      </c>
      <c r="J2476" s="3"/>
      <c r="K2476" s="3"/>
      <c r="L2476" s="5"/>
    </row>
    <row r="2477" spans="1:12" ht="43.2" x14ac:dyDescent="0.55000000000000004">
      <c r="A2477" s="9" t="str">
        <f>HYPERLINK("PDF\FOIA-FWS-2020-00724-0002476.pdf","FOIA-FWS-2020-00724-0002476")</f>
        <v>FOIA-FWS-2020-00724-0002476</v>
      </c>
      <c r="B2477" s="3" t="s">
        <v>4286</v>
      </c>
      <c r="C2477" s="3" t="s">
        <v>3</v>
      </c>
      <c r="D2477" s="3" t="s">
        <v>33</v>
      </c>
      <c r="E2477" s="3" t="s">
        <v>4288</v>
      </c>
      <c r="F2477" s="4">
        <v>43770.62222222222</v>
      </c>
      <c r="G2477" s="3" t="s">
        <v>872</v>
      </c>
      <c r="H2477" s="3" t="s">
        <v>4287</v>
      </c>
      <c r="I2477" s="3" t="s">
        <v>7043</v>
      </c>
      <c r="J2477" s="3"/>
      <c r="K2477" s="3"/>
      <c r="L2477" s="5"/>
    </row>
    <row r="2478" spans="1:12" ht="28.8" x14ac:dyDescent="0.55000000000000004">
      <c r="A2478" s="9" t="str">
        <f>HYPERLINK("PDF\FOIA-FWS-2020-00724-0002477.pdf","FOIA-FWS-2020-00724-0002477")</f>
        <v>FOIA-FWS-2020-00724-0002477</v>
      </c>
      <c r="B2478" s="3" t="s">
        <v>4289</v>
      </c>
      <c r="C2478" s="3" t="s">
        <v>3</v>
      </c>
      <c r="D2478" s="3" t="s">
        <v>33</v>
      </c>
      <c r="E2478" s="3" t="s">
        <v>4290</v>
      </c>
      <c r="F2478" s="4">
        <v>43770.645833333336</v>
      </c>
      <c r="G2478" s="3" t="s">
        <v>963</v>
      </c>
      <c r="H2478" s="3" t="s">
        <v>945</v>
      </c>
      <c r="I2478" s="3" t="s">
        <v>7043</v>
      </c>
      <c r="J2478" s="3"/>
      <c r="K2478" s="3"/>
      <c r="L2478" s="5"/>
    </row>
    <row r="2479" spans="1:12" ht="28.8" x14ac:dyDescent="0.55000000000000004">
      <c r="A2479" s="9" t="str">
        <f>HYPERLINK("PDF\FOIA-FWS-2020-00724-0002478.pdf","FOIA-FWS-2020-00724-0002478")</f>
        <v>FOIA-FWS-2020-00724-0002478</v>
      </c>
      <c r="B2479" s="3" t="s">
        <v>4289</v>
      </c>
      <c r="C2479" s="3" t="s">
        <v>234</v>
      </c>
      <c r="D2479" s="3" t="s">
        <v>33</v>
      </c>
      <c r="E2479" s="3" t="s">
        <v>3659</v>
      </c>
      <c r="F2479" s="4">
        <v>43770.645833333336</v>
      </c>
      <c r="G2479" s="3"/>
      <c r="H2479" s="3"/>
      <c r="I2479" s="3" t="s">
        <v>7043</v>
      </c>
      <c r="J2479" s="3"/>
      <c r="K2479" s="3"/>
      <c r="L2479" s="5"/>
    </row>
    <row r="2480" spans="1:12" ht="28.8" x14ac:dyDescent="0.55000000000000004">
      <c r="A2480" s="9" t="str">
        <f>HYPERLINK("PDF\FOIA-FWS-2020-00724-0002479.pdf","FOIA-FWS-2020-00724-0002479")</f>
        <v>FOIA-FWS-2020-00724-0002479</v>
      </c>
      <c r="B2480" s="3" t="s">
        <v>4289</v>
      </c>
      <c r="C2480" s="3" t="s">
        <v>234</v>
      </c>
      <c r="D2480" s="3" t="s">
        <v>33</v>
      </c>
      <c r="E2480" s="3" t="s">
        <v>3660</v>
      </c>
      <c r="F2480" s="4">
        <v>43770.645833333336</v>
      </c>
      <c r="G2480" s="3"/>
      <c r="H2480" s="3"/>
      <c r="I2480" s="3" t="s">
        <v>7043</v>
      </c>
      <c r="J2480" s="3"/>
      <c r="K2480" s="3"/>
      <c r="L2480" s="5"/>
    </row>
    <row r="2481" spans="1:12" ht="28.8" x14ac:dyDescent="0.55000000000000004">
      <c r="A2481" s="9" t="str">
        <f>HYPERLINK("PDF\FOIA-FWS-2020-00724-0002480.pdf","FOIA-FWS-2020-00724-0002480")</f>
        <v>FOIA-FWS-2020-00724-0002480</v>
      </c>
      <c r="B2481" s="3" t="s">
        <v>4289</v>
      </c>
      <c r="C2481" s="3" t="s">
        <v>234</v>
      </c>
      <c r="D2481" s="3" t="s">
        <v>33</v>
      </c>
      <c r="E2481" s="3" t="s">
        <v>4291</v>
      </c>
      <c r="F2481" s="4">
        <v>43770.645833333336</v>
      </c>
      <c r="G2481" s="3"/>
      <c r="H2481" s="3"/>
      <c r="I2481" s="3" t="s">
        <v>7043</v>
      </c>
      <c r="J2481" s="3"/>
      <c r="K2481" s="3"/>
      <c r="L2481" s="5"/>
    </row>
    <row r="2482" spans="1:12" ht="28.8" x14ac:dyDescent="0.55000000000000004">
      <c r="A2482" s="9" t="str">
        <f>HYPERLINK("PDF\FOIA-FWS-2020-00724-0002481.pdf","FOIA-FWS-2020-00724-0002481")</f>
        <v>FOIA-FWS-2020-00724-0002481</v>
      </c>
      <c r="B2482" s="3" t="s">
        <v>4292</v>
      </c>
      <c r="C2482" s="3" t="s">
        <v>3</v>
      </c>
      <c r="D2482" s="3" t="s">
        <v>33</v>
      </c>
      <c r="E2482" s="3" t="s">
        <v>4293</v>
      </c>
      <c r="F2482" s="4">
        <v>43770.647916666669</v>
      </c>
      <c r="G2482" s="3" t="s">
        <v>963</v>
      </c>
      <c r="H2482" s="3" t="s">
        <v>1688</v>
      </c>
      <c r="I2482" s="3" t="s">
        <v>7043</v>
      </c>
      <c r="J2482" s="3"/>
      <c r="K2482" s="3"/>
      <c r="L2482" s="5"/>
    </row>
    <row r="2483" spans="1:12" ht="28.8" x14ac:dyDescent="0.55000000000000004">
      <c r="A2483" s="9" t="str">
        <f>HYPERLINK("PDF\FOIA-FWS-2020-00724-0002482.pdf","FOIA-FWS-2020-00724-0002482")</f>
        <v>FOIA-FWS-2020-00724-0002482</v>
      </c>
      <c r="B2483" s="3" t="s">
        <v>4292</v>
      </c>
      <c r="C2483" s="3" t="s">
        <v>234</v>
      </c>
      <c r="D2483" s="3" t="s">
        <v>1678</v>
      </c>
      <c r="E2483" s="3" t="s">
        <v>4294</v>
      </c>
      <c r="F2483" s="4">
        <v>43770.647916666669</v>
      </c>
      <c r="G2483" s="3"/>
      <c r="H2483" s="3"/>
      <c r="I2483" s="3" t="s">
        <v>7043</v>
      </c>
      <c r="J2483" s="3"/>
      <c r="K2483" s="3"/>
      <c r="L2483" s="5"/>
    </row>
    <row r="2484" spans="1:12" ht="28.8" x14ac:dyDescent="0.55000000000000004">
      <c r="A2484" s="9" t="str">
        <f>HYPERLINK("PDF\FOIA-FWS-2020-00724-0002483.pdf","FOIA-FWS-2020-00724-0002483")</f>
        <v>FOIA-FWS-2020-00724-0002483</v>
      </c>
      <c r="B2484" s="3" t="s">
        <v>4292</v>
      </c>
      <c r="C2484" s="3" t="s">
        <v>234</v>
      </c>
      <c r="D2484" s="3" t="s">
        <v>1678</v>
      </c>
      <c r="E2484" s="3" t="s">
        <v>4295</v>
      </c>
      <c r="F2484" s="4">
        <v>43770.647916666669</v>
      </c>
      <c r="G2484" s="3"/>
      <c r="H2484" s="3"/>
      <c r="I2484" s="3" t="s">
        <v>7043</v>
      </c>
      <c r="J2484" s="3"/>
      <c r="K2484" s="3"/>
      <c r="L2484" s="5"/>
    </row>
    <row r="2485" spans="1:12" ht="72" x14ac:dyDescent="0.55000000000000004">
      <c r="A2485" s="9" t="str">
        <f>HYPERLINK("PDF\FOIA-FWS-2020-00724-0002484.pdf","FOIA-FWS-2020-00724-0002484")</f>
        <v>FOIA-FWS-2020-00724-0002484</v>
      </c>
      <c r="B2485" s="3" t="s">
        <v>4296</v>
      </c>
      <c r="C2485" s="3" t="s">
        <v>3</v>
      </c>
      <c r="D2485" s="3" t="s">
        <v>33</v>
      </c>
      <c r="E2485" s="3" t="s">
        <v>4297</v>
      </c>
      <c r="F2485" s="4">
        <v>43770.667361111111</v>
      </c>
      <c r="G2485" s="3" t="s">
        <v>1688</v>
      </c>
      <c r="H2485" s="3" t="s">
        <v>1012</v>
      </c>
      <c r="I2485" s="3" t="s">
        <v>7043</v>
      </c>
      <c r="J2485" s="3"/>
      <c r="K2485" s="3"/>
      <c r="L2485" s="5"/>
    </row>
    <row r="2486" spans="1:12" ht="28.8" x14ac:dyDescent="0.55000000000000004">
      <c r="A2486" s="9" t="str">
        <f>HYPERLINK("PDF\FOIA-FWS-2020-00724-0002485.pdf","FOIA-FWS-2020-00724-0002485")</f>
        <v>FOIA-FWS-2020-00724-0002485</v>
      </c>
      <c r="B2486" s="3" t="s">
        <v>4298</v>
      </c>
      <c r="C2486" s="3" t="s">
        <v>3</v>
      </c>
      <c r="D2486" s="3" t="s">
        <v>33</v>
      </c>
      <c r="E2486" s="3" t="s">
        <v>4300</v>
      </c>
      <c r="F2486" s="4">
        <v>43770.751388888886</v>
      </c>
      <c r="G2486" s="3" t="s">
        <v>4299</v>
      </c>
      <c r="H2486" s="3" t="s">
        <v>2179</v>
      </c>
      <c r="I2486" s="3" t="s">
        <v>7043</v>
      </c>
      <c r="J2486" s="3"/>
      <c r="K2486" s="3"/>
      <c r="L2486" s="5"/>
    </row>
    <row r="2487" spans="1:12" ht="43.2" x14ac:dyDescent="0.55000000000000004">
      <c r="A2487" s="9" t="str">
        <f>HYPERLINK("PDF\FOIA-FWS-2020-00724-0002486.pdf","FOIA-FWS-2020-00724-0002486")</f>
        <v>FOIA-FWS-2020-00724-0002486</v>
      </c>
      <c r="B2487" s="3" t="s">
        <v>4301</v>
      </c>
      <c r="C2487" s="3" t="s">
        <v>3</v>
      </c>
      <c r="D2487" s="3" t="s">
        <v>33</v>
      </c>
      <c r="E2487" s="3" t="s">
        <v>4303</v>
      </c>
      <c r="F2487" s="4">
        <v>43773.675694444442</v>
      </c>
      <c r="G2487" s="3" t="s">
        <v>4302</v>
      </c>
      <c r="H2487" s="3" t="s">
        <v>2179</v>
      </c>
      <c r="I2487" s="3" t="s">
        <v>7043</v>
      </c>
      <c r="J2487" s="3"/>
      <c r="K2487" s="3"/>
      <c r="L2487" s="5"/>
    </row>
    <row r="2488" spans="1:12" ht="28.8" x14ac:dyDescent="0.55000000000000004">
      <c r="A2488" s="9" t="str">
        <f>HYPERLINK("PDF\FOIA-FWS-2020-00724-0002487.pdf","FOIA-FWS-2020-00724-0002487")</f>
        <v>FOIA-FWS-2020-00724-0002487</v>
      </c>
      <c r="B2488" s="3" t="s">
        <v>4301</v>
      </c>
      <c r="C2488" s="3" t="s">
        <v>234</v>
      </c>
      <c r="D2488" s="3" t="s">
        <v>33</v>
      </c>
      <c r="E2488" s="3" t="s">
        <v>4304</v>
      </c>
      <c r="F2488" s="4">
        <v>43773.675694444442</v>
      </c>
      <c r="G2488" s="3"/>
      <c r="H2488" s="3"/>
      <c r="I2488" s="3" t="s">
        <v>7043</v>
      </c>
      <c r="J2488" s="3"/>
      <c r="K2488" s="3"/>
      <c r="L2488" s="5"/>
    </row>
    <row r="2489" spans="1:12" ht="28.8" x14ac:dyDescent="0.55000000000000004">
      <c r="A2489" s="9" t="str">
        <f>HYPERLINK("PDF\FOIA-FWS-2020-00724-0002488.pdf","FOIA-FWS-2020-00724-0002488")</f>
        <v>FOIA-FWS-2020-00724-0002488</v>
      </c>
      <c r="B2489" s="3" t="s">
        <v>4301</v>
      </c>
      <c r="C2489" s="3" t="s">
        <v>234</v>
      </c>
      <c r="D2489" s="3" t="s">
        <v>33</v>
      </c>
      <c r="E2489" s="3" t="s">
        <v>4305</v>
      </c>
      <c r="F2489" s="4">
        <v>43773.675694444442</v>
      </c>
      <c r="G2489" s="3"/>
      <c r="H2489" s="3"/>
      <c r="I2489" s="3" t="s">
        <v>7043</v>
      </c>
      <c r="J2489" s="3"/>
      <c r="K2489" s="3"/>
      <c r="L2489" s="5"/>
    </row>
    <row r="2490" spans="1:12" ht="28.8" x14ac:dyDescent="0.55000000000000004">
      <c r="A2490" s="9" t="str">
        <f>HYPERLINK("PDF\FOIA-FWS-2020-00724-0002489.pdf","FOIA-FWS-2020-00724-0002489")</f>
        <v>FOIA-FWS-2020-00724-0002489</v>
      </c>
      <c r="B2490" s="3" t="s">
        <v>4306</v>
      </c>
      <c r="C2490" s="3" t="s">
        <v>3</v>
      </c>
      <c r="D2490" s="3" t="s">
        <v>33</v>
      </c>
      <c r="E2490" s="3" t="s">
        <v>4307</v>
      </c>
      <c r="F2490" s="4">
        <v>43773.770138888889</v>
      </c>
      <c r="G2490" s="3" t="s">
        <v>1024</v>
      </c>
      <c r="H2490" s="3" t="s">
        <v>2179</v>
      </c>
      <c r="I2490" s="3" t="s">
        <v>7043</v>
      </c>
      <c r="J2490" s="3"/>
      <c r="K2490" s="3"/>
      <c r="L2490" s="5"/>
    </row>
    <row r="2491" spans="1:12" ht="28.8" x14ac:dyDescent="0.55000000000000004">
      <c r="A2491" s="9" t="str">
        <f>HYPERLINK("PDF\FOIA-FWS-2020-00724-0002490.pdf","FOIA-FWS-2020-00724-0002490")</f>
        <v>FOIA-FWS-2020-00724-0002490</v>
      </c>
      <c r="B2491" s="3" t="s">
        <v>4306</v>
      </c>
      <c r="C2491" s="3" t="s">
        <v>234</v>
      </c>
      <c r="D2491" s="3" t="s">
        <v>33</v>
      </c>
      <c r="E2491" s="3" t="s">
        <v>4308</v>
      </c>
      <c r="F2491" s="4">
        <v>43773.770138888889</v>
      </c>
      <c r="G2491" s="3"/>
      <c r="H2491" s="3"/>
      <c r="I2491" s="3" t="s">
        <v>7043</v>
      </c>
      <c r="J2491" s="3"/>
      <c r="K2491" s="3"/>
      <c r="L2491" s="5"/>
    </row>
    <row r="2492" spans="1:12" ht="28.8" x14ac:dyDescent="0.55000000000000004">
      <c r="A2492" s="9" t="str">
        <f>HYPERLINK("PDF\FOIA-FWS-2020-00724-0002491.pdf","FOIA-FWS-2020-00724-0002491")</f>
        <v>FOIA-FWS-2020-00724-0002491</v>
      </c>
      <c r="B2492" s="3" t="s">
        <v>4306</v>
      </c>
      <c r="C2492" s="3" t="s">
        <v>234</v>
      </c>
      <c r="D2492" s="3" t="s">
        <v>33</v>
      </c>
      <c r="E2492" s="3" t="s">
        <v>4309</v>
      </c>
      <c r="F2492" s="4">
        <v>43773.770138888889</v>
      </c>
      <c r="G2492" s="3"/>
      <c r="H2492" s="3"/>
      <c r="I2492" s="3" t="s">
        <v>7043</v>
      </c>
      <c r="J2492" s="3"/>
      <c r="K2492" s="3"/>
      <c r="L2492" s="5"/>
    </row>
    <row r="2493" spans="1:12" ht="28.8" x14ac:dyDescent="0.55000000000000004">
      <c r="A2493" s="9" t="str">
        <f>HYPERLINK("PDF\FOIA-FWS-2020-00724-0002492.pdf","FOIA-FWS-2020-00724-0002492")</f>
        <v>FOIA-FWS-2020-00724-0002492</v>
      </c>
      <c r="B2493" s="3" t="s">
        <v>4310</v>
      </c>
      <c r="C2493" s="3" t="s">
        <v>3</v>
      </c>
      <c r="D2493" s="3" t="s">
        <v>33</v>
      </c>
      <c r="E2493" s="3" t="s">
        <v>4312</v>
      </c>
      <c r="F2493" s="4">
        <v>43773.865277777775</v>
      </c>
      <c r="G2493" s="3" t="s">
        <v>1024</v>
      </c>
      <c r="H2493" s="3" t="s">
        <v>4311</v>
      </c>
      <c r="I2493" s="3" t="s">
        <v>7043</v>
      </c>
      <c r="J2493" s="3"/>
      <c r="K2493" s="3"/>
      <c r="L2493" s="5"/>
    </row>
    <row r="2494" spans="1:12" ht="28.8" x14ac:dyDescent="0.55000000000000004">
      <c r="A2494" s="9" t="str">
        <f>HYPERLINK("PDF\FOIA-FWS-2020-00724-0002493.pdf","FOIA-FWS-2020-00724-0002493")</f>
        <v>FOIA-FWS-2020-00724-0002493</v>
      </c>
      <c r="B2494" s="3" t="s">
        <v>4310</v>
      </c>
      <c r="C2494" s="3" t="s">
        <v>234</v>
      </c>
      <c r="D2494" s="3" t="s">
        <v>33</v>
      </c>
      <c r="E2494" s="3" t="s">
        <v>4308</v>
      </c>
      <c r="F2494" s="4">
        <v>43773.865277777775</v>
      </c>
      <c r="G2494" s="3"/>
      <c r="H2494" s="3"/>
      <c r="I2494" s="3" t="s">
        <v>7043</v>
      </c>
      <c r="J2494" s="3"/>
      <c r="K2494" s="3"/>
      <c r="L2494" s="5"/>
    </row>
    <row r="2495" spans="1:12" ht="28.8" x14ac:dyDescent="0.55000000000000004">
      <c r="A2495" s="9" t="str">
        <f>HYPERLINK("PDF\FOIA-FWS-2020-00724-0002494.pdf","FOIA-FWS-2020-00724-0002494")</f>
        <v>FOIA-FWS-2020-00724-0002494</v>
      </c>
      <c r="B2495" s="3" t="s">
        <v>4310</v>
      </c>
      <c r="C2495" s="3" t="s">
        <v>234</v>
      </c>
      <c r="D2495" s="3" t="s">
        <v>33</v>
      </c>
      <c r="E2495" s="3" t="s">
        <v>4309</v>
      </c>
      <c r="F2495" s="4">
        <v>43773.865277777775</v>
      </c>
      <c r="G2495" s="3"/>
      <c r="H2495" s="3"/>
      <c r="I2495" s="3" t="s">
        <v>7043</v>
      </c>
      <c r="J2495" s="3"/>
      <c r="K2495" s="3"/>
      <c r="L2495" s="5"/>
    </row>
    <row r="2496" spans="1:12" ht="28.8" x14ac:dyDescent="0.55000000000000004">
      <c r="A2496" s="9" t="str">
        <f>HYPERLINK("PDF\FOIA-FWS-2020-00724-0002495.pdf","FOIA-FWS-2020-00724-0002495")</f>
        <v>FOIA-FWS-2020-00724-0002495</v>
      </c>
      <c r="B2496" s="3" t="s">
        <v>4313</v>
      </c>
      <c r="C2496" s="3" t="s">
        <v>3</v>
      </c>
      <c r="D2496" s="3" t="s">
        <v>33</v>
      </c>
      <c r="E2496" s="3" t="s">
        <v>4314</v>
      </c>
      <c r="F2496" s="4">
        <v>43773.894444444442</v>
      </c>
      <c r="G2496" s="3" t="s">
        <v>1024</v>
      </c>
      <c r="H2496" s="3" t="s">
        <v>2179</v>
      </c>
      <c r="I2496" s="3" t="s">
        <v>7043</v>
      </c>
      <c r="J2496" s="3"/>
      <c r="K2496" s="3"/>
      <c r="L2496" s="5"/>
    </row>
    <row r="2497" spans="1:12" ht="28.8" x14ac:dyDescent="0.55000000000000004">
      <c r="A2497" s="9" t="str">
        <f>HYPERLINK("PDF\FOIA-FWS-2020-00724-0002496.pdf","FOIA-FWS-2020-00724-0002496")</f>
        <v>FOIA-FWS-2020-00724-0002496</v>
      </c>
      <c r="B2497" s="3" t="s">
        <v>4313</v>
      </c>
      <c r="C2497" s="3" t="s">
        <v>234</v>
      </c>
      <c r="D2497" s="3" t="s">
        <v>33</v>
      </c>
      <c r="E2497" s="3" t="s">
        <v>4315</v>
      </c>
      <c r="F2497" s="4">
        <v>43773.894444444442</v>
      </c>
      <c r="G2497" s="3"/>
      <c r="H2497" s="3"/>
      <c r="I2497" s="3" t="s">
        <v>7043</v>
      </c>
      <c r="J2497" s="3"/>
      <c r="K2497" s="3"/>
      <c r="L2497" s="5"/>
    </row>
    <row r="2498" spans="1:12" ht="28.8" x14ac:dyDescent="0.55000000000000004">
      <c r="A2498" s="9" t="str">
        <f>HYPERLINK("PDF\FOIA-FWS-2020-00724-0002497.pdf","FOIA-FWS-2020-00724-0002497")</f>
        <v>FOIA-FWS-2020-00724-0002497</v>
      </c>
      <c r="B2498" s="3" t="s">
        <v>4316</v>
      </c>
      <c r="C2498" s="3" t="s">
        <v>3</v>
      </c>
      <c r="D2498" s="3" t="s">
        <v>33</v>
      </c>
      <c r="E2498" s="3" t="s">
        <v>4308</v>
      </c>
      <c r="F2498" s="4">
        <v>43774.432638888888</v>
      </c>
      <c r="G2498" s="3"/>
      <c r="H2498" s="3"/>
      <c r="I2498" s="3" t="s">
        <v>7043</v>
      </c>
      <c r="J2498" s="3"/>
      <c r="K2498" s="3"/>
      <c r="L2498" s="5"/>
    </row>
    <row r="2499" spans="1:12" ht="28.8" x14ac:dyDescent="0.55000000000000004">
      <c r="A2499" s="9" t="str">
        <f>HYPERLINK("PDF\FOIA-FWS-2020-00724-0002498.pdf","FOIA-FWS-2020-00724-0002498")</f>
        <v>FOIA-FWS-2020-00724-0002498</v>
      </c>
      <c r="B2499" s="3" t="s">
        <v>4317</v>
      </c>
      <c r="C2499" s="3" t="s">
        <v>3</v>
      </c>
      <c r="D2499" s="3" t="s">
        <v>33</v>
      </c>
      <c r="E2499" s="3" t="s">
        <v>4312</v>
      </c>
      <c r="F2499" s="4">
        <v>43774.697916666664</v>
      </c>
      <c r="G2499" s="3" t="s">
        <v>1392</v>
      </c>
      <c r="H2499" s="3" t="s">
        <v>2179</v>
      </c>
      <c r="I2499" s="3" t="s">
        <v>7043</v>
      </c>
      <c r="J2499" s="3"/>
      <c r="K2499" s="3"/>
      <c r="L2499" s="5"/>
    </row>
    <row r="2500" spans="1:12" ht="72" x14ac:dyDescent="0.55000000000000004">
      <c r="A2500" s="9" t="str">
        <f>HYPERLINK("PDF\FOIA-FWS-2020-00724-0002499.pdf","FOIA-FWS-2020-00724-0002499")</f>
        <v>FOIA-FWS-2020-00724-0002499</v>
      </c>
      <c r="B2500" s="3" t="s">
        <v>4318</v>
      </c>
      <c r="C2500" s="3" t="s">
        <v>3</v>
      </c>
      <c r="D2500" s="3" t="s">
        <v>33</v>
      </c>
      <c r="E2500" s="3" t="s">
        <v>4319</v>
      </c>
      <c r="F2500" s="4">
        <v>43774.71597222222</v>
      </c>
      <c r="G2500" s="3" t="s">
        <v>1024</v>
      </c>
      <c r="H2500" s="3" t="s">
        <v>2179</v>
      </c>
      <c r="I2500" s="3" t="s">
        <v>7043</v>
      </c>
      <c r="J2500" s="3"/>
      <c r="K2500" s="3"/>
      <c r="L2500" s="5"/>
    </row>
    <row r="2501" spans="1:12" ht="28.8" x14ac:dyDescent="0.55000000000000004">
      <c r="A2501" s="9" t="str">
        <f>HYPERLINK("PDF\FOIA-FWS-2020-00724-0002500.pdf","FOIA-FWS-2020-00724-0002500")</f>
        <v>FOIA-FWS-2020-00724-0002500</v>
      </c>
      <c r="B2501" s="3" t="s">
        <v>4320</v>
      </c>
      <c r="C2501" s="3" t="s">
        <v>3</v>
      </c>
      <c r="D2501" s="3" t="s">
        <v>33</v>
      </c>
      <c r="E2501" s="3" t="s">
        <v>4309</v>
      </c>
      <c r="F2501" s="4">
        <v>43774.71597222222</v>
      </c>
      <c r="G2501" s="3"/>
      <c r="H2501" s="3"/>
      <c r="I2501" s="3" t="s">
        <v>7043</v>
      </c>
      <c r="J2501" s="3"/>
      <c r="K2501" s="3"/>
      <c r="L2501" s="5"/>
    </row>
    <row r="2502" spans="1:12" ht="28.8" x14ac:dyDescent="0.55000000000000004">
      <c r="A2502" s="9" t="str">
        <f>HYPERLINK("PDF\FOIA-FWS-2020-00724-0002501.pdf","FOIA-FWS-2020-00724-0002501")</f>
        <v>FOIA-FWS-2020-00724-0002501</v>
      </c>
      <c r="B2502" s="3" t="s">
        <v>4321</v>
      </c>
      <c r="C2502" s="3" t="s">
        <v>3</v>
      </c>
      <c r="D2502" s="3" t="s">
        <v>38</v>
      </c>
      <c r="E2502" s="3" t="s">
        <v>4309</v>
      </c>
      <c r="F2502" s="4">
        <v>43774.71597222222</v>
      </c>
      <c r="G2502" s="3"/>
      <c r="H2502" s="3"/>
      <c r="I2502" s="3" t="s">
        <v>7043</v>
      </c>
      <c r="J2502" s="3"/>
      <c r="K2502" s="3"/>
      <c r="L2502" s="5"/>
    </row>
    <row r="2503" spans="1:12" ht="28.8" x14ac:dyDescent="0.55000000000000004">
      <c r="A2503" s="9" t="str">
        <f>HYPERLINK("PDF\FOIA-FWS-2020-00724-0002502.pdf","FOIA-FWS-2020-00724-0002502")</f>
        <v>FOIA-FWS-2020-00724-0002502</v>
      </c>
      <c r="B2503" s="3" t="s">
        <v>4322</v>
      </c>
      <c r="C2503" s="3" t="s">
        <v>3</v>
      </c>
      <c r="D2503" s="3" t="s">
        <v>33</v>
      </c>
      <c r="E2503" s="3" t="s">
        <v>4323</v>
      </c>
      <c r="F2503" s="4">
        <v>43774.745138888888</v>
      </c>
      <c r="G2503" s="3" t="s">
        <v>1489</v>
      </c>
      <c r="H2503" s="3" t="s">
        <v>872</v>
      </c>
      <c r="I2503" s="3" t="s">
        <v>7043</v>
      </c>
      <c r="J2503" s="3"/>
      <c r="K2503" s="3"/>
      <c r="L2503" s="5"/>
    </row>
    <row r="2504" spans="1:12" ht="28.8" x14ac:dyDescent="0.55000000000000004">
      <c r="A2504" s="9" t="str">
        <f>HYPERLINK("PDF\FOIA-FWS-2020-00724-0002503.pdf","FOIA-FWS-2020-00724-0002503")</f>
        <v>FOIA-FWS-2020-00724-0002503</v>
      </c>
      <c r="B2504" s="3" t="s">
        <v>4322</v>
      </c>
      <c r="C2504" s="3" t="s">
        <v>234</v>
      </c>
      <c r="D2504" s="3" t="s">
        <v>160</v>
      </c>
      <c r="E2504" s="3" t="s">
        <v>4324</v>
      </c>
      <c r="F2504" s="4">
        <v>43774.745138888888</v>
      </c>
      <c r="G2504" s="3"/>
      <c r="H2504" s="3"/>
      <c r="I2504" s="3" t="s">
        <v>7043</v>
      </c>
      <c r="J2504" s="3"/>
      <c r="K2504" s="3"/>
      <c r="L2504" s="5" t="str">
        <f>HYPERLINK("NATIVE_FILES\FOIA-FWS-2020-00724-0002503.xlsx","FOIA-FWS-2020-00724-0002503.xlsx")</f>
        <v>FOIA-FWS-2020-00724-0002503.xlsx</v>
      </c>
    </row>
    <row r="2505" spans="1:12" ht="43.2" x14ac:dyDescent="0.55000000000000004">
      <c r="A2505" s="9" t="str">
        <f>HYPERLINK("PDF\FOIA-FWS-2020-00724-0002504.pdf","FOIA-FWS-2020-00724-0002504")</f>
        <v>FOIA-FWS-2020-00724-0002504</v>
      </c>
      <c r="B2505" s="3" t="s">
        <v>4325</v>
      </c>
      <c r="C2505" s="3" t="s">
        <v>3</v>
      </c>
      <c r="D2505" s="3" t="s">
        <v>33</v>
      </c>
      <c r="E2505" s="3" t="s">
        <v>4326</v>
      </c>
      <c r="F2505" s="4">
        <v>43774.75277777778</v>
      </c>
      <c r="G2505" s="3" t="s">
        <v>1392</v>
      </c>
      <c r="H2505" s="3" t="s">
        <v>955</v>
      </c>
      <c r="I2505" s="3" t="s">
        <v>7043</v>
      </c>
      <c r="J2505" s="3"/>
      <c r="K2505" s="3"/>
      <c r="L2505" s="5"/>
    </row>
    <row r="2506" spans="1:12" ht="72" x14ac:dyDescent="0.55000000000000004">
      <c r="A2506" s="9" t="str">
        <f>HYPERLINK("PDF\FOIA-FWS-2020-00724-0002505.pdf","FOIA-FWS-2020-00724-0002505")</f>
        <v>FOIA-FWS-2020-00724-0002505</v>
      </c>
      <c r="B2506" s="3" t="s">
        <v>4327</v>
      </c>
      <c r="C2506" s="3" t="s">
        <v>3</v>
      </c>
      <c r="D2506" s="3" t="s">
        <v>33</v>
      </c>
      <c r="E2506" s="3" t="s">
        <v>4329</v>
      </c>
      <c r="F2506" s="4">
        <v>43774.762499999997</v>
      </c>
      <c r="G2506" s="3" t="s">
        <v>4328</v>
      </c>
      <c r="H2506" s="3"/>
      <c r="I2506" s="3" t="s">
        <v>7043</v>
      </c>
      <c r="J2506" s="3"/>
      <c r="K2506" s="3"/>
      <c r="L2506" s="5"/>
    </row>
    <row r="2507" spans="1:12" ht="72" x14ac:dyDescent="0.55000000000000004">
      <c r="A2507" s="9" t="str">
        <f>HYPERLINK("PDF\FOIA-FWS-2020-00724-0002506.pdf","FOIA-FWS-2020-00724-0002506")</f>
        <v>FOIA-FWS-2020-00724-0002506</v>
      </c>
      <c r="B2507" s="3" t="s">
        <v>4330</v>
      </c>
      <c r="C2507" s="3" t="s">
        <v>3</v>
      </c>
      <c r="D2507" s="3" t="s">
        <v>33</v>
      </c>
      <c r="E2507" s="3" t="s">
        <v>4329</v>
      </c>
      <c r="F2507" s="4">
        <v>43774.765277777777</v>
      </c>
      <c r="G2507" s="3" t="s">
        <v>4328</v>
      </c>
      <c r="H2507" s="3"/>
      <c r="I2507" s="3" t="s">
        <v>7043</v>
      </c>
      <c r="J2507" s="3"/>
      <c r="K2507" s="3"/>
      <c r="L2507" s="5"/>
    </row>
    <row r="2508" spans="1:12" ht="72" x14ac:dyDescent="0.55000000000000004">
      <c r="A2508" s="9" t="str">
        <f>HYPERLINK("PDF\FOIA-FWS-2020-00724-0002507.pdf","FOIA-FWS-2020-00724-0002507")</f>
        <v>FOIA-FWS-2020-00724-0002507</v>
      </c>
      <c r="B2508" s="3" t="s">
        <v>4331</v>
      </c>
      <c r="C2508" s="3" t="s">
        <v>3</v>
      </c>
      <c r="D2508" s="3" t="s">
        <v>33</v>
      </c>
      <c r="E2508" s="3" t="s">
        <v>4332</v>
      </c>
      <c r="F2508" s="4">
        <v>43774.777083333334</v>
      </c>
      <c r="G2508" s="3" t="s">
        <v>4328</v>
      </c>
      <c r="H2508" s="3"/>
      <c r="I2508" s="3" t="s">
        <v>7043</v>
      </c>
      <c r="J2508" s="3"/>
      <c r="K2508" s="3"/>
      <c r="L2508" s="5"/>
    </row>
    <row r="2509" spans="1:12" ht="72" x14ac:dyDescent="0.55000000000000004">
      <c r="A2509" s="9" t="str">
        <f>HYPERLINK("PDF\FOIA-FWS-2020-00724-0002508.pdf","FOIA-FWS-2020-00724-0002508")</f>
        <v>FOIA-FWS-2020-00724-0002508</v>
      </c>
      <c r="B2509" s="3" t="s">
        <v>4333</v>
      </c>
      <c r="C2509" s="3" t="s">
        <v>3</v>
      </c>
      <c r="D2509" s="3" t="s">
        <v>33</v>
      </c>
      <c r="E2509" s="3" t="s">
        <v>4332</v>
      </c>
      <c r="F2509" s="4">
        <v>43774.78125</v>
      </c>
      <c r="G2509" s="3" t="s">
        <v>4328</v>
      </c>
      <c r="H2509" s="3"/>
      <c r="I2509" s="3" t="s">
        <v>7043</v>
      </c>
      <c r="J2509" s="3"/>
      <c r="K2509" s="3"/>
      <c r="L2509" s="5"/>
    </row>
    <row r="2510" spans="1:12" ht="28.8" x14ac:dyDescent="0.55000000000000004">
      <c r="A2510" s="9" t="str">
        <f>HYPERLINK("PDF\FOIA-FWS-2020-00724-0002509.pdf","FOIA-FWS-2020-00724-0002509")</f>
        <v>FOIA-FWS-2020-00724-0002509</v>
      </c>
      <c r="B2510" s="3" t="s">
        <v>4334</v>
      </c>
      <c r="C2510" s="3" t="s">
        <v>3</v>
      </c>
      <c r="D2510" s="3" t="s">
        <v>33</v>
      </c>
      <c r="E2510" s="3" t="s">
        <v>4335</v>
      </c>
      <c r="F2510" s="4">
        <v>43774.782638888886</v>
      </c>
      <c r="G2510" s="3" t="s">
        <v>1489</v>
      </c>
      <c r="H2510" s="3" t="s">
        <v>872</v>
      </c>
      <c r="I2510" s="3" t="s">
        <v>7043</v>
      </c>
      <c r="J2510" s="3"/>
      <c r="K2510" s="3"/>
      <c r="L2510" s="5"/>
    </row>
    <row r="2511" spans="1:12" ht="28.8" x14ac:dyDescent="0.55000000000000004">
      <c r="A2511" s="9" t="str">
        <f>HYPERLINK("PDF\FOIA-FWS-2020-00724-0002510.pdf","FOIA-FWS-2020-00724-0002510")</f>
        <v>FOIA-FWS-2020-00724-0002510</v>
      </c>
      <c r="B2511" s="3" t="s">
        <v>4334</v>
      </c>
      <c r="C2511" s="3" t="s">
        <v>234</v>
      </c>
      <c r="D2511" s="3" t="s">
        <v>160</v>
      </c>
      <c r="E2511" s="3" t="s">
        <v>4336</v>
      </c>
      <c r="F2511" s="4">
        <v>43774.782638888886</v>
      </c>
      <c r="G2511" s="3"/>
      <c r="H2511" s="3"/>
      <c r="I2511" s="3" t="s">
        <v>7043</v>
      </c>
      <c r="J2511" s="3"/>
      <c r="K2511" s="3"/>
      <c r="L2511" s="5" t="str">
        <f>HYPERLINK("NATIVE_FILES\FOIA-FWS-2020-00724-0002510.xlsx","FOIA-FWS-2020-00724-0002510.xlsx")</f>
        <v>FOIA-FWS-2020-00724-0002510.xlsx</v>
      </c>
    </row>
    <row r="2512" spans="1:12" ht="28.8" x14ac:dyDescent="0.55000000000000004">
      <c r="A2512" s="9" t="str">
        <f>HYPERLINK("PDF\FOIA-FWS-2020-00724-0002511.pdf","FOIA-FWS-2020-00724-0002511")</f>
        <v>FOIA-FWS-2020-00724-0002511</v>
      </c>
      <c r="B2512" s="3" t="s">
        <v>4337</v>
      </c>
      <c r="C2512" s="3" t="s">
        <v>3</v>
      </c>
      <c r="D2512" s="3" t="s">
        <v>33</v>
      </c>
      <c r="E2512" s="3" t="s">
        <v>4338</v>
      </c>
      <c r="F2512" s="4">
        <v>43774.786111111112</v>
      </c>
      <c r="G2512" s="3" t="s">
        <v>1012</v>
      </c>
      <c r="H2512" s="3" t="s">
        <v>2179</v>
      </c>
      <c r="I2512" s="3" t="s">
        <v>7043</v>
      </c>
      <c r="J2512" s="3"/>
      <c r="K2512" s="3"/>
      <c r="L2512" s="5"/>
    </row>
    <row r="2513" spans="1:12" ht="72" x14ac:dyDescent="0.55000000000000004">
      <c r="A2513" s="9" t="str">
        <f>HYPERLINK("PDF\FOIA-FWS-2020-00724-0002512.pdf","FOIA-FWS-2020-00724-0002512")</f>
        <v>FOIA-FWS-2020-00724-0002512</v>
      </c>
      <c r="B2513" s="3" t="s">
        <v>4339</v>
      </c>
      <c r="C2513" s="3" t="s">
        <v>3</v>
      </c>
      <c r="D2513" s="3" t="s">
        <v>33</v>
      </c>
      <c r="E2513" s="3" t="s">
        <v>4332</v>
      </c>
      <c r="F2513" s="4">
        <v>43774.795138888891</v>
      </c>
      <c r="G2513" s="3" t="s">
        <v>4328</v>
      </c>
      <c r="H2513" s="3" t="s">
        <v>4340</v>
      </c>
      <c r="I2513" s="3" t="s">
        <v>7043</v>
      </c>
      <c r="J2513" s="3"/>
      <c r="K2513" s="3"/>
      <c r="L2513" s="5"/>
    </row>
    <row r="2514" spans="1:12" ht="28.8" x14ac:dyDescent="0.55000000000000004">
      <c r="A2514" s="9" t="str">
        <f>HYPERLINK("PDF\FOIA-FWS-2020-00724-0002513.pdf","FOIA-FWS-2020-00724-0002513")</f>
        <v>FOIA-FWS-2020-00724-0002513</v>
      </c>
      <c r="B2514" s="3" t="s">
        <v>4341</v>
      </c>
      <c r="C2514" s="3" t="s">
        <v>3</v>
      </c>
      <c r="D2514" s="3" t="s">
        <v>33</v>
      </c>
      <c r="E2514" s="3" t="s">
        <v>4343</v>
      </c>
      <c r="F2514" s="4">
        <v>43774.81527777778</v>
      </c>
      <c r="G2514" s="3" t="s">
        <v>4342</v>
      </c>
      <c r="H2514" s="3" t="s">
        <v>1688</v>
      </c>
      <c r="I2514" s="3" t="s">
        <v>7043</v>
      </c>
      <c r="J2514" s="3"/>
      <c r="K2514" s="3"/>
      <c r="L2514" s="5"/>
    </row>
    <row r="2515" spans="1:12" ht="28.8" x14ac:dyDescent="0.55000000000000004">
      <c r="A2515" s="9" t="str">
        <f>HYPERLINK("PDF\FOIA-FWS-2020-00724-0002514.pdf","FOIA-FWS-2020-00724-0002514")</f>
        <v>FOIA-FWS-2020-00724-0002514</v>
      </c>
      <c r="B2515" s="3" t="s">
        <v>4344</v>
      </c>
      <c r="C2515" s="3" t="s">
        <v>3</v>
      </c>
      <c r="D2515" s="3" t="s">
        <v>33</v>
      </c>
      <c r="E2515" s="3" t="s">
        <v>4345</v>
      </c>
      <c r="F2515" s="4">
        <v>43774.817361111112</v>
      </c>
      <c r="G2515" s="3" t="s">
        <v>1024</v>
      </c>
      <c r="H2515" s="3" t="s">
        <v>955</v>
      </c>
      <c r="I2515" s="3" t="s">
        <v>7043</v>
      </c>
      <c r="J2515" s="3"/>
      <c r="K2515" s="3"/>
      <c r="L2515" s="5"/>
    </row>
    <row r="2516" spans="1:12" ht="28.8" x14ac:dyDescent="0.55000000000000004">
      <c r="A2516" s="9" t="str">
        <f>HYPERLINK("PDF\FOIA-FWS-2020-00724-0002515.pdf","FOIA-FWS-2020-00724-0002515")</f>
        <v>FOIA-FWS-2020-00724-0002515</v>
      </c>
      <c r="B2516" s="3" t="s">
        <v>4346</v>
      </c>
      <c r="C2516" s="3" t="s">
        <v>3</v>
      </c>
      <c r="D2516" s="3" t="s">
        <v>33</v>
      </c>
      <c r="E2516" s="3" t="s">
        <v>4347</v>
      </c>
      <c r="F2516" s="4">
        <v>43775</v>
      </c>
      <c r="G2516" s="3"/>
      <c r="H2516" s="3"/>
      <c r="I2516" s="3" t="s">
        <v>7043</v>
      </c>
      <c r="J2516" s="3"/>
      <c r="K2516" s="3"/>
      <c r="L2516" s="5"/>
    </row>
    <row r="2517" spans="1:12" ht="28.8" x14ac:dyDescent="0.55000000000000004">
      <c r="A2517" s="9" t="str">
        <f>HYPERLINK("PDF\FOIA-FWS-2020-00724-0002516.pdf","FOIA-FWS-2020-00724-0002516")</f>
        <v>FOIA-FWS-2020-00724-0002516</v>
      </c>
      <c r="B2517" s="3" t="s">
        <v>4348</v>
      </c>
      <c r="C2517" s="3" t="s">
        <v>3</v>
      </c>
      <c r="D2517" s="3" t="s">
        <v>33</v>
      </c>
      <c r="E2517" s="3" t="s">
        <v>4349</v>
      </c>
      <c r="F2517" s="4">
        <v>43775.529166666667</v>
      </c>
      <c r="G2517" s="3" t="s">
        <v>1024</v>
      </c>
      <c r="H2517" s="3" t="s">
        <v>1119</v>
      </c>
      <c r="I2517" s="3" t="s">
        <v>7043</v>
      </c>
      <c r="J2517" s="3"/>
      <c r="K2517" s="3"/>
      <c r="L2517" s="5"/>
    </row>
    <row r="2518" spans="1:12" ht="28.8" x14ac:dyDescent="0.55000000000000004">
      <c r="A2518" s="9" t="str">
        <f>HYPERLINK("PDF\FOIA-FWS-2020-00724-0002517.pdf","FOIA-FWS-2020-00724-0002517")</f>
        <v>FOIA-FWS-2020-00724-0002517</v>
      </c>
      <c r="B2518" s="3" t="s">
        <v>4348</v>
      </c>
      <c r="C2518" s="3" t="s">
        <v>234</v>
      </c>
      <c r="D2518" s="3" t="s">
        <v>33</v>
      </c>
      <c r="E2518" s="3" t="s">
        <v>4350</v>
      </c>
      <c r="F2518" s="4">
        <v>43775.529166666667</v>
      </c>
      <c r="G2518" s="3"/>
      <c r="H2518" s="3"/>
      <c r="I2518" s="3" t="s">
        <v>7043</v>
      </c>
      <c r="J2518" s="3"/>
      <c r="K2518" s="3"/>
      <c r="L2518" s="5" t="str">
        <f>HYPERLINK("NATIVE_FILES\FOIA-FWS-2020-00724-0002517.xlsx","FOIA-FWS-2020-00724-0002517.xlsx")</f>
        <v>FOIA-FWS-2020-00724-0002517.xlsx</v>
      </c>
    </row>
    <row r="2519" spans="1:12" ht="28.8" x14ac:dyDescent="0.55000000000000004">
      <c r="A2519" s="9" t="str">
        <f>HYPERLINK("PDF\FOIA-FWS-2020-00724-0002518.pdf","FOIA-FWS-2020-00724-0002518")</f>
        <v>FOIA-FWS-2020-00724-0002518</v>
      </c>
      <c r="B2519" s="3" t="s">
        <v>4351</v>
      </c>
      <c r="C2519" s="3" t="s">
        <v>3</v>
      </c>
      <c r="D2519" s="3" t="s">
        <v>33</v>
      </c>
      <c r="E2519" s="3" t="s">
        <v>4352</v>
      </c>
      <c r="F2519" s="4">
        <v>43775.612500000003</v>
      </c>
      <c r="G2519" s="3" t="s">
        <v>1119</v>
      </c>
      <c r="H2519" s="3" t="s">
        <v>1024</v>
      </c>
      <c r="I2519" s="3" t="s">
        <v>7043</v>
      </c>
      <c r="J2519" s="3"/>
      <c r="K2519" s="3"/>
      <c r="L2519" s="5"/>
    </row>
    <row r="2520" spans="1:12" ht="28.8" x14ac:dyDescent="0.55000000000000004">
      <c r="A2520" s="9" t="str">
        <f>HYPERLINK("PDF\FOIA-FWS-2020-00724-0002519.pdf","FOIA-FWS-2020-00724-0002519")</f>
        <v>FOIA-FWS-2020-00724-0002519</v>
      </c>
      <c r="B2520" s="3" t="s">
        <v>4351</v>
      </c>
      <c r="C2520" s="3" t="s">
        <v>234</v>
      </c>
      <c r="D2520" s="3" t="s">
        <v>33</v>
      </c>
      <c r="E2520" s="3" t="s">
        <v>4353</v>
      </c>
      <c r="F2520" s="4">
        <v>43775.612500000003</v>
      </c>
      <c r="G2520" s="3"/>
      <c r="H2520" s="3"/>
      <c r="I2520" s="3" t="s">
        <v>7043</v>
      </c>
      <c r="J2520" s="3"/>
      <c r="K2520" s="3"/>
      <c r="L2520" s="5"/>
    </row>
    <row r="2521" spans="1:12" ht="28.8" x14ac:dyDescent="0.55000000000000004">
      <c r="A2521" s="9" t="str">
        <f>HYPERLINK("PDF\FOIA-FWS-2020-00724-0002520.pdf","FOIA-FWS-2020-00724-0002520")</f>
        <v>FOIA-FWS-2020-00724-0002520</v>
      </c>
      <c r="B2521" s="3" t="s">
        <v>4351</v>
      </c>
      <c r="C2521" s="3" t="s">
        <v>234</v>
      </c>
      <c r="D2521" s="3" t="s">
        <v>33</v>
      </c>
      <c r="E2521" s="3" t="s">
        <v>4354</v>
      </c>
      <c r="F2521" s="4">
        <v>43775.612500000003</v>
      </c>
      <c r="G2521" s="3"/>
      <c r="H2521" s="3"/>
      <c r="I2521" s="3" t="s">
        <v>7043</v>
      </c>
      <c r="J2521" s="3"/>
      <c r="K2521" s="3"/>
      <c r="L2521" s="5"/>
    </row>
    <row r="2522" spans="1:12" ht="28.8" x14ac:dyDescent="0.55000000000000004">
      <c r="A2522" s="9" t="str">
        <f>HYPERLINK("PDF\FOIA-FWS-2020-00724-0002521.pdf","FOIA-FWS-2020-00724-0002521")</f>
        <v>FOIA-FWS-2020-00724-0002521</v>
      </c>
      <c r="B2522" s="3" t="s">
        <v>4355</v>
      </c>
      <c r="C2522" s="3" t="s">
        <v>3</v>
      </c>
      <c r="D2522" s="3" t="s">
        <v>33</v>
      </c>
      <c r="E2522" s="3" t="s">
        <v>4357</v>
      </c>
      <c r="F2522" s="4">
        <v>43775.695138888892</v>
      </c>
      <c r="G2522" s="3" t="s">
        <v>919</v>
      </c>
      <c r="H2522" s="3" t="s">
        <v>4356</v>
      </c>
      <c r="I2522" s="3" t="s">
        <v>7043</v>
      </c>
      <c r="J2522" s="3"/>
      <c r="K2522" s="3"/>
      <c r="L2522" s="5"/>
    </row>
    <row r="2523" spans="1:12" ht="28.8" x14ac:dyDescent="0.55000000000000004">
      <c r="A2523" s="9" t="str">
        <f>HYPERLINK("PDF\FOIA-FWS-2020-00724-0002522.pdf","FOIA-FWS-2020-00724-0002522")</f>
        <v>FOIA-FWS-2020-00724-0002522</v>
      </c>
      <c r="B2523" s="3" t="s">
        <v>4358</v>
      </c>
      <c r="C2523" s="3" t="s">
        <v>3</v>
      </c>
      <c r="D2523" s="3" t="s">
        <v>33</v>
      </c>
      <c r="E2523" s="3" t="s">
        <v>4352</v>
      </c>
      <c r="F2523" s="4">
        <v>43775.724999999999</v>
      </c>
      <c r="G2523" s="3" t="s">
        <v>1119</v>
      </c>
      <c r="H2523" s="3" t="s">
        <v>1024</v>
      </c>
      <c r="I2523" s="3" t="s">
        <v>7043</v>
      </c>
      <c r="J2523" s="3"/>
      <c r="K2523" s="3"/>
      <c r="L2523" s="5"/>
    </row>
    <row r="2524" spans="1:12" ht="28.8" x14ac:dyDescent="0.55000000000000004">
      <c r="A2524" s="9" t="str">
        <f>HYPERLINK("PDF\FOIA-FWS-2020-00724-0002523.pdf","FOIA-FWS-2020-00724-0002523")</f>
        <v>FOIA-FWS-2020-00724-0002523</v>
      </c>
      <c r="B2524" s="3" t="s">
        <v>4358</v>
      </c>
      <c r="C2524" s="3" t="s">
        <v>234</v>
      </c>
      <c r="D2524" s="3" t="s">
        <v>33</v>
      </c>
      <c r="E2524" s="3" t="s">
        <v>4359</v>
      </c>
      <c r="F2524" s="4">
        <v>43775.724999999999</v>
      </c>
      <c r="G2524" s="3"/>
      <c r="H2524" s="3"/>
      <c r="I2524" s="3" t="s">
        <v>7043</v>
      </c>
      <c r="J2524" s="3"/>
      <c r="K2524" s="3"/>
      <c r="L2524" s="5"/>
    </row>
    <row r="2525" spans="1:12" ht="28.8" x14ac:dyDescent="0.55000000000000004">
      <c r="A2525" s="9" t="str">
        <f>HYPERLINK("PDF\FOIA-FWS-2020-00724-0002524.pdf","FOIA-FWS-2020-00724-0002524")</f>
        <v>FOIA-FWS-2020-00724-0002524</v>
      </c>
      <c r="B2525" s="3" t="s">
        <v>4360</v>
      </c>
      <c r="C2525" s="3" t="s">
        <v>3</v>
      </c>
      <c r="D2525" s="3" t="s">
        <v>33</v>
      </c>
      <c r="E2525" s="3" t="s">
        <v>4349</v>
      </c>
      <c r="F2525" s="4">
        <v>43775.750694444447</v>
      </c>
      <c r="G2525" s="3" t="s">
        <v>1024</v>
      </c>
      <c r="H2525" s="3" t="s">
        <v>4311</v>
      </c>
      <c r="I2525" s="3" t="s">
        <v>7043</v>
      </c>
      <c r="J2525" s="3"/>
      <c r="K2525" s="3"/>
      <c r="L2525" s="5"/>
    </row>
    <row r="2526" spans="1:12" ht="28.8" x14ac:dyDescent="0.55000000000000004">
      <c r="A2526" s="9" t="str">
        <f>HYPERLINK("PDF\FOIA-FWS-2020-00724-0002525.pdf","FOIA-FWS-2020-00724-0002525")</f>
        <v>FOIA-FWS-2020-00724-0002525</v>
      </c>
      <c r="B2526" s="3" t="s">
        <v>4360</v>
      </c>
      <c r="C2526" s="3" t="s">
        <v>234</v>
      </c>
      <c r="D2526" s="3" t="s">
        <v>33</v>
      </c>
      <c r="E2526" s="3" t="s">
        <v>4361</v>
      </c>
      <c r="F2526" s="4">
        <v>43775.750694444447</v>
      </c>
      <c r="G2526" s="3"/>
      <c r="H2526" s="3"/>
      <c r="I2526" s="3" t="s">
        <v>7043</v>
      </c>
      <c r="J2526" s="3"/>
      <c r="K2526" s="3"/>
      <c r="L2526" s="5"/>
    </row>
    <row r="2527" spans="1:12" ht="28.8" x14ac:dyDescent="0.55000000000000004">
      <c r="A2527" s="9" t="str">
        <f>HYPERLINK("PDF\FOIA-FWS-2020-00724-0002526.pdf","FOIA-FWS-2020-00724-0002526")</f>
        <v>FOIA-FWS-2020-00724-0002526</v>
      </c>
      <c r="B2527" s="3" t="s">
        <v>4362</v>
      </c>
      <c r="C2527" s="3" t="s">
        <v>3</v>
      </c>
      <c r="D2527" s="3" t="s">
        <v>33</v>
      </c>
      <c r="E2527" s="3" t="s">
        <v>4349</v>
      </c>
      <c r="F2527" s="4">
        <v>43775.754166666666</v>
      </c>
      <c r="G2527" s="3" t="s">
        <v>1119</v>
      </c>
      <c r="H2527" s="3" t="s">
        <v>4363</v>
      </c>
      <c r="I2527" s="3" t="s">
        <v>7043</v>
      </c>
      <c r="J2527" s="3"/>
      <c r="K2527" s="3"/>
      <c r="L2527" s="5"/>
    </row>
    <row r="2528" spans="1:12" ht="28.8" x14ac:dyDescent="0.55000000000000004">
      <c r="A2528" s="9" t="str">
        <f>HYPERLINK("PDF\FOIA-FWS-2020-00724-0002527.pdf","FOIA-FWS-2020-00724-0002527")</f>
        <v>FOIA-FWS-2020-00724-0002527</v>
      </c>
      <c r="B2528" s="3" t="s">
        <v>4364</v>
      </c>
      <c r="C2528" s="3" t="s">
        <v>3</v>
      </c>
      <c r="D2528" s="3" t="s">
        <v>33</v>
      </c>
      <c r="E2528" s="3" t="s">
        <v>4365</v>
      </c>
      <c r="F2528" s="4">
        <v>43775.760416666664</v>
      </c>
      <c r="G2528" s="3" t="s">
        <v>1119</v>
      </c>
      <c r="H2528" s="3" t="s">
        <v>872</v>
      </c>
      <c r="I2528" s="3" t="s">
        <v>7043</v>
      </c>
      <c r="J2528" s="3"/>
      <c r="K2528" s="3"/>
      <c r="L2528" s="5"/>
    </row>
    <row r="2529" spans="1:12" ht="28.8" x14ac:dyDescent="0.55000000000000004">
      <c r="A2529" s="9" t="str">
        <f>HYPERLINK("PDF\FOIA-FWS-2020-00724-0002528.pdf","FOIA-FWS-2020-00724-0002528")</f>
        <v>FOIA-FWS-2020-00724-0002528</v>
      </c>
      <c r="B2529" s="3" t="s">
        <v>4364</v>
      </c>
      <c r="C2529" s="3" t="s">
        <v>234</v>
      </c>
      <c r="D2529" s="3" t="s">
        <v>33</v>
      </c>
      <c r="E2529" s="3" t="s">
        <v>4366</v>
      </c>
      <c r="F2529" s="4">
        <v>43775.760416666664</v>
      </c>
      <c r="G2529" s="3"/>
      <c r="H2529" s="3"/>
      <c r="I2529" s="3" t="s">
        <v>7043</v>
      </c>
      <c r="J2529" s="3"/>
      <c r="K2529" s="3"/>
      <c r="L2529" s="5"/>
    </row>
    <row r="2530" spans="1:12" ht="28.8" x14ac:dyDescent="0.55000000000000004">
      <c r="A2530" s="9" t="str">
        <f>HYPERLINK("PDF\FOIA-FWS-2020-00724-0002529.pdf","FOIA-FWS-2020-00724-0002529")</f>
        <v>FOIA-FWS-2020-00724-0002529</v>
      </c>
      <c r="B2530" s="3" t="s">
        <v>4364</v>
      </c>
      <c r="C2530" s="3" t="s">
        <v>234</v>
      </c>
      <c r="D2530" s="3" t="s">
        <v>33</v>
      </c>
      <c r="E2530" s="3" t="s">
        <v>4367</v>
      </c>
      <c r="F2530" s="4">
        <v>43775.760416666664</v>
      </c>
      <c r="G2530" s="3"/>
      <c r="H2530" s="3"/>
      <c r="I2530" s="3" t="s">
        <v>7043</v>
      </c>
      <c r="J2530" s="3"/>
      <c r="K2530" s="3"/>
      <c r="L2530" s="5"/>
    </row>
    <row r="2531" spans="1:12" ht="28.8" x14ac:dyDescent="0.55000000000000004">
      <c r="A2531" s="9" t="str">
        <f>HYPERLINK("PDF\FOIA-FWS-2020-00724-0002530.pdf","FOIA-FWS-2020-00724-0002530")</f>
        <v>FOIA-FWS-2020-00724-0002530</v>
      </c>
      <c r="B2531" s="3" t="s">
        <v>4364</v>
      </c>
      <c r="C2531" s="3" t="s">
        <v>234</v>
      </c>
      <c r="D2531" s="3" t="s">
        <v>33</v>
      </c>
      <c r="E2531" s="3" t="s">
        <v>4368</v>
      </c>
      <c r="F2531" s="4">
        <v>43775.760416666664</v>
      </c>
      <c r="G2531" s="3"/>
      <c r="H2531" s="3"/>
      <c r="I2531" s="3" t="s">
        <v>7043</v>
      </c>
      <c r="J2531" s="3"/>
      <c r="K2531" s="3"/>
      <c r="L2531" s="5"/>
    </row>
    <row r="2532" spans="1:12" ht="28.8" x14ac:dyDescent="0.55000000000000004">
      <c r="A2532" s="9" t="str">
        <f>HYPERLINK("PDF\FOIA-FWS-2020-00724-0002531.pdf","FOIA-FWS-2020-00724-0002531")</f>
        <v>FOIA-FWS-2020-00724-0002531</v>
      </c>
      <c r="B2532" s="3" t="s">
        <v>4364</v>
      </c>
      <c r="C2532" s="3" t="s">
        <v>234</v>
      </c>
      <c r="D2532" s="3" t="s">
        <v>33</v>
      </c>
      <c r="E2532" s="3" t="s">
        <v>4369</v>
      </c>
      <c r="F2532" s="4">
        <v>43775.760416666664</v>
      </c>
      <c r="G2532" s="3"/>
      <c r="H2532" s="3"/>
      <c r="I2532" s="3" t="s">
        <v>7043</v>
      </c>
      <c r="J2532" s="3"/>
      <c r="K2532" s="3"/>
      <c r="L2532" s="5"/>
    </row>
    <row r="2533" spans="1:12" ht="28.8" x14ac:dyDescent="0.55000000000000004">
      <c r="A2533" s="9" t="str">
        <f>HYPERLINK("PDF\FOIA-FWS-2020-00724-0002532.pdf","FOIA-FWS-2020-00724-0002532")</f>
        <v>FOIA-FWS-2020-00724-0002532</v>
      </c>
      <c r="B2533" s="3" t="s">
        <v>4364</v>
      </c>
      <c r="C2533" s="3" t="s">
        <v>234</v>
      </c>
      <c r="D2533" s="3" t="s">
        <v>33</v>
      </c>
      <c r="E2533" s="3" t="s">
        <v>4370</v>
      </c>
      <c r="F2533" s="4">
        <v>43775.760416666664</v>
      </c>
      <c r="G2533" s="3"/>
      <c r="H2533" s="3"/>
      <c r="I2533" s="3" t="s">
        <v>7043</v>
      </c>
      <c r="J2533" s="3"/>
      <c r="K2533" s="3"/>
      <c r="L2533" s="5"/>
    </row>
    <row r="2534" spans="1:12" ht="28.8" x14ac:dyDescent="0.55000000000000004">
      <c r="A2534" s="9" t="str">
        <f>HYPERLINK("PDF\FOIA-FWS-2020-00724-0002533.pdf","FOIA-FWS-2020-00724-0002533")</f>
        <v>FOIA-FWS-2020-00724-0002533</v>
      </c>
      <c r="B2534" s="3" t="s">
        <v>4364</v>
      </c>
      <c r="C2534" s="3" t="s">
        <v>234</v>
      </c>
      <c r="D2534" s="3" t="s">
        <v>33</v>
      </c>
      <c r="E2534" s="3" t="s">
        <v>4371</v>
      </c>
      <c r="F2534" s="4">
        <v>43775.760416666664</v>
      </c>
      <c r="G2534" s="3"/>
      <c r="H2534" s="3"/>
      <c r="I2534" s="3" t="s">
        <v>7043</v>
      </c>
      <c r="J2534" s="3"/>
      <c r="K2534" s="3"/>
      <c r="L2534" s="5"/>
    </row>
    <row r="2535" spans="1:12" ht="28.8" x14ac:dyDescent="0.55000000000000004">
      <c r="A2535" s="9" t="str">
        <f>HYPERLINK("PDF\FOIA-FWS-2020-00724-0002534.pdf","FOIA-FWS-2020-00724-0002534")</f>
        <v>FOIA-FWS-2020-00724-0002534</v>
      </c>
      <c r="B2535" s="3" t="s">
        <v>4364</v>
      </c>
      <c r="C2535" s="3" t="s">
        <v>234</v>
      </c>
      <c r="D2535" s="3" t="s">
        <v>33</v>
      </c>
      <c r="E2535" s="3" t="s">
        <v>4372</v>
      </c>
      <c r="F2535" s="4">
        <v>43775.760416666664</v>
      </c>
      <c r="G2535" s="3"/>
      <c r="H2535" s="3"/>
      <c r="I2535" s="3" t="s">
        <v>7043</v>
      </c>
      <c r="J2535" s="3"/>
      <c r="K2535" s="3"/>
      <c r="L2535" s="5"/>
    </row>
    <row r="2536" spans="1:12" ht="28.8" x14ac:dyDescent="0.55000000000000004">
      <c r="A2536" s="9" t="str">
        <f>HYPERLINK("PDF\FOIA-FWS-2020-00724-0002535.pdf","FOIA-FWS-2020-00724-0002535")</f>
        <v>FOIA-FWS-2020-00724-0002535</v>
      </c>
      <c r="B2536" s="3" t="s">
        <v>4373</v>
      </c>
      <c r="C2536" s="3" t="s">
        <v>3</v>
      </c>
      <c r="D2536" s="3" t="s">
        <v>33</v>
      </c>
      <c r="E2536" s="3" t="s">
        <v>4375</v>
      </c>
      <c r="F2536" s="4">
        <v>43775.770138888889</v>
      </c>
      <c r="G2536" s="3" t="s">
        <v>1024</v>
      </c>
      <c r="H2536" s="3" t="s">
        <v>4374</v>
      </c>
      <c r="I2536" s="3" t="s">
        <v>7043</v>
      </c>
      <c r="J2536" s="3"/>
      <c r="K2536" s="3"/>
      <c r="L2536" s="5"/>
    </row>
    <row r="2537" spans="1:12" ht="28.8" x14ac:dyDescent="0.55000000000000004">
      <c r="A2537" s="9" t="str">
        <f>HYPERLINK("PDF\FOIA-FWS-2020-00724-0002536.pdf","FOIA-FWS-2020-00724-0002536")</f>
        <v>FOIA-FWS-2020-00724-0002536</v>
      </c>
      <c r="B2537" s="3" t="s">
        <v>4373</v>
      </c>
      <c r="C2537" s="3" t="s">
        <v>234</v>
      </c>
      <c r="D2537" s="3" t="s">
        <v>33</v>
      </c>
      <c r="E2537" s="3" t="s">
        <v>4376</v>
      </c>
      <c r="F2537" s="4">
        <v>43775.770138888889</v>
      </c>
      <c r="G2537" s="3"/>
      <c r="H2537" s="3"/>
      <c r="I2537" s="3" t="s">
        <v>7043</v>
      </c>
      <c r="J2537" s="3"/>
      <c r="K2537" s="3"/>
      <c r="L2537" s="5"/>
    </row>
    <row r="2538" spans="1:12" ht="28.8" x14ac:dyDescent="0.55000000000000004">
      <c r="A2538" s="9" t="str">
        <f>HYPERLINK("PDF\FOIA-FWS-2020-00724-0002537.pdf","FOIA-FWS-2020-00724-0002537")</f>
        <v>FOIA-FWS-2020-00724-0002537</v>
      </c>
      <c r="B2538" s="3" t="s">
        <v>4377</v>
      </c>
      <c r="C2538" s="3" t="s">
        <v>3</v>
      </c>
      <c r="D2538" s="3" t="s">
        <v>33</v>
      </c>
      <c r="E2538" s="3" t="s">
        <v>4375</v>
      </c>
      <c r="F2538" s="4">
        <v>43775.78125</v>
      </c>
      <c r="G2538" s="3" t="s">
        <v>1024</v>
      </c>
      <c r="H2538" s="3" t="s">
        <v>2179</v>
      </c>
      <c r="I2538" s="3" t="s">
        <v>7043</v>
      </c>
      <c r="J2538" s="3"/>
      <c r="K2538" s="3"/>
      <c r="L2538" s="5"/>
    </row>
    <row r="2539" spans="1:12" ht="28.8" x14ac:dyDescent="0.55000000000000004">
      <c r="A2539" s="9" t="str">
        <f>HYPERLINK("PDF\FOIA-FWS-2020-00724-0002538.pdf","FOIA-FWS-2020-00724-0002538")</f>
        <v>FOIA-FWS-2020-00724-0002538</v>
      </c>
      <c r="B2539" s="3" t="s">
        <v>4377</v>
      </c>
      <c r="C2539" s="3" t="s">
        <v>234</v>
      </c>
      <c r="D2539" s="3" t="s">
        <v>33</v>
      </c>
      <c r="E2539" s="3" t="s">
        <v>4350</v>
      </c>
      <c r="F2539" s="4">
        <v>43775.78125</v>
      </c>
      <c r="G2539" s="3"/>
      <c r="H2539" s="3"/>
      <c r="I2539" s="3" t="s">
        <v>7043</v>
      </c>
      <c r="J2539" s="3"/>
      <c r="K2539" s="3"/>
      <c r="L2539" s="5" t="str">
        <f>HYPERLINK("NATIVE_FILES\FOIA-FWS-2020-00724-0002538.xlsx","FOIA-FWS-2020-00724-0002538.xlsx")</f>
        <v>FOIA-FWS-2020-00724-0002538.xlsx</v>
      </c>
    </row>
    <row r="2540" spans="1:12" ht="28.8" x14ac:dyDescent="0.55000000000000004">
      <c r="A2540" s="9" t="str">
        <f>HYPERLINK("PDF\FOIA-FWS-2020-00724-0002539.pdf","FOIA-FWS-2020-00724-0002539")</f>
        <v>FOIA-FWS-2020-00724-0002539</v>
      </c>
      <c r="B2540" s="3" t="s">
        <v>4378</v>
      </c>
      <c r="C2540" s="3" t="s">
        <v>3</v>
      </c>
      <c r="D2540" s="3" t="s">
        <v>33</v>
      </c>
      <c r="E2540" s="3" t="s">
        <v>4379</v>
      </c>
      <c r="F2540" s="4">
        <v>43775.79583333333</v>
      </c>
      <c r="G2540" s="3" t="s">
        <v>872</v>
      </c>
      <c r="H2540" s="3" t="s">
        <v>1489</v>
      </c>
      <c r="I2540" s="3" t="s">
        <v>7043</v>
      </c>
      <c r="J2540" s="3"/>
      <c r="K2540" s="3"/>
      <c r="L2540" s="5"/>
    </row>
    <row r="2541" spans="1:12" ht="28.8" x14ac:dyDescent="0.55000000000000004">
      <c r="A2541" s="9" t="str">
        <f>HYPERLINK("PDF\FOIA-FWS-2020-00724-0002540.pdf","FOIA-FWS-2020-00724-0002540")</f>
        <v>FOIA-FWS-2020-00724-0002540</v>
      </c>
      <c r="B2541" s="3" t="s">
        <v>4378</v>
      </c>
      <c r="C2541" s="3" t="s">
        <v>234</v>
      </c>
      <c r="D2541" s="3" t="s">
        <v>160</v>
      </c>
      <c r="E2541" s="3" t="s">
        <v>4380</v>
      </c>
      <c r="F2541" s="4">
        <v>43775.79583333333</v>
      </c>
      <c r="G2541" s="3"/>
      <c r="H2541" s="3"/>
      <c r="I2541" s="3" t="s">
        <v>7043</v>
      </c>
      <c r="J2541" s="3"/>
      <c r="K2541" s="3"/>
      <c r="L2541" s="5" t="str">
        <f>HYPERLINK("NATIVE_FILES\FOIA-FWS-2020-00724-0002540.dbf","FOIA-FWS-2020-00724-0002540.dbf")</f>
        <v>FOIA-FWS-2020-00724-0002540.dbf</v>
      </c>
    </row>
    <row r="2542" spans="1:12" ht="28.8" x14ac:dyDescent="0.55000000000000004">
      <c r="A2542" s="9" t="str">
        <f>HYPERLINK("PDF\FOIA-FWS-2020-00724-0002541.pdf","FOIA-FWS-2020-00724-0002541")</f>
        <v>FOIA-FWS-2020-00724-0002541</v>
      </c>
      <c r="B2542" s="3" t="s">
        <v>4378</v>
      </c>
      <c r="C2542" s="3" t="s">
        <v>234</v>
      </c>
      <c r="D2542" s="3" t="s">
        <v>160</v>
      </c>
      <c r="E2542" s="3" t="s">
        <v>4381</v>
      </c>
      <c r="F2542" s="4">
        <v>43775.79583333333</v>
      </c>
      <c r="G2542" s="3"/>
      <c r="H2542" s="3"/>
      <c r="I2542" s="3" t="s">
        <v>7043</v>
      </c>
      <c r="J2542" s="3"/>
      <c r="K2542" s="3"/>
      <c r="L2542" s="5" t="str">
        <f>HYPERLINK("NATIVE_FILES\FOIA-FWS-2020-00724-0002541.prj","FOIA-FWS-2020-00724-0002541.prj")</f>
        <v>FOIA-FWS-2020-00724-0002541.prj</v>
      </c>
    </row>
    <row r="2543" spans="1:12" ht="28.8" x14ac:dyDescent="0.55000000000000004">
      <c r="A2543" s="9" t="str">
        <f>HYPERLINK("PDF\FOIA-FWS-2020-00724-0002542.pdf","FOIA-FWS-2020-00724-0002542")</f>
        <v>FOIA-FWS-2020-00724-0002542</v>
      </c>
      <c r="B2543" s="3" t="s">
        <v>4378</v>
      </c>
      <c r="C2543" s="3" t="s">
        <v>234</v>
      </c>
      <c r="D2543" s="3" t="s">
        <v>160</v>
      </c>
      <c r="E2543" s="3" t="s">
        <v>4382</v>
      </c>
      <c r="F2543" s="4">
        <v>43775.79583333333</v>
      </c>
      <c r="G2543" s="3"/>
      <c r="H2543" s="3"/>
      <c r="I2543" s="3" t="s">
        <v>7043</v>
      </c>
      <c r="J2543" s="3"/>
      <c r="K2543" s="3"/>
      <c r="L2543" s="5" t="str">
        <f>HYPERLINK("NATIVE_FILES\FOIA-FWS-2020-00724-0002542.shp","FOIA-FWS-2020-00724-0002542.shp")</f>
        <v>FOIA-FWS-2020-00724-0002542.shp</v>
      </c>
    </row>
    <row r="2544" spans="1:12" ht="28.8" x14ac:dyDescent="0.55000000000000004">
      <c r="A2544" s="9" t="str">
        <f>HYPERLINK("PDF\FOIA-FWS-2020-00724-0002543.pdf","FOIA-FWS-2020-00724-0002543")</f>
        <v>FOIA-FWS-2020-00724-0002543</v>
      </c>
      <c r="B2544" s="3" t="s">
        <v>4378</v>
      </c>
      <c r="C2544" s="3" t="s">
        <v>234</v>
      </c>
      <c r="D2544" s="3" t="s">
        <v>160</v>
      </c>
      <c r="E2544" s="3" t="s">
        <v>4383</v>
      </c>
      <c r="F2544" s="4">
        <v>43775.79583333333</v>
      </c>
      <c r="G2544" s="3"/>
      <c r="H2544" s="3"/>
      <c r="I2544" s="3" t="s">
        <v>7043</v>
      </c>
      <c r="J2544" s="3"/>
      <c r="K2544" s="3"/>
      <c r="L2544" s="5" t="str">
        <f>HYPERLINK("NATIVE_FILES\FOIA-FWS-2020-00724-0002543.shx","FOIA-FWS-2020-00724-0002543.shx")</f>
        <v>FOIA-FWS-2020-00724-0002543.shx</v>
      </c>
    </row>
    <row r="2545" spans="1:12" ht="28.8" x14ac:dyDescent="0.55000000000000004">
      <c r="A2545" s="9" t="str">
        <f>HYPERLINK("PDF\FOIA-FWS-2020-00724-0002544.pdf","FOIA-FWS-2020-00724-0002544")</f>
        <v>FOIA-FWS-2020-00724-0002544</v>
      </c>
      <c r="B2545" s="3" t="s">
        <v>4384</v>
      </c>
      <c r="C2545" s="3" t="s">
        <v>3</v>
      </c>
      <c r="D2545" s="3" t="s">
        <v>33</v>
      </c>
      <c r="E2545" s="3" t="s">
        <v>4379</v>
      </c>
      <c r="F2545" s="4">
        <v>43775.79583333333</v>
      </c>
      <c r="G2545" s="3" t="s">
        <v>872</v>
      </c>
      <c r="H2545" s="3" t="s">
        <v>1489</v>
      </c>
      <c r="I2545" s="3" t="s">
        <v>7043</v>
      </c>
      <c r="J2545" s="3"/>
      <c r="K2545" s="3"/>
      <c r="L2545" s="5"/>
    </row>
    <row r="2546" spans="1:12" ht="28.8" x14ac:dyDescent="0.55000000000000004">
      <c r="A2546" s="9" t="str">
        <f>HYPERLINK("PDF\FOIA-FWS-2020-00724-0002545.pdf","FOIA-FWS-2020-00724-0002545")</f>
        <v>FOIA-FWS-2020-00724-0002545</v>
      </c>
      <c r="B2546" s="3" t="s">
        <v>4384</v>
      </c>
      <c r="C2546" s="3" t="s">
        <v>234</v>
      </c>
      <c r="D2546" s="3" t="s">
        <v>160</v>
      </c>
      <c r="E2546" s="3" t="s">
        <v>4385</v>
      </c>
      <c r="F2546" s="4">
        <v>43775.79583333333</v>
      </c>
      <c r="G2546" s="3"/>
      <c r="H2546" s="3"/>
      <c r="I2546" s="3" t="s">
        <v>7043</v>
      </c>
      <c r="J2546" s="3"/>
      <c r="K2546" s="3"/>
      <c r="L2546" s="5" t="str">
        <f>HYPERLINK("NATIVE_FILES\FOIA-FWS-2020-00724-0002545.dbf","FOIA-FWS-2020-00724-0002545.dbf")</f>
        <v>FOIA-FWS-2020-00724-0002545.dbf</v>
      </c>
    </row>
    <row r="2547" spans="1:12" ht="28.8" x14ac:dyDescent="0.55000000000000004">
      <c r="A2547" s="9" t="str">
        <f>HYPERLINK("PDF\FOIA-FWS-2020-00724-0002546.pdf","FOIA-FWS-2020-00724-0002546")</f>
        <v>FOIA-FWS-2020-00724-0002546</v>
      </c>
      <c r="B2547" s="3" t="s">
        <v>4384</v>
      </c>
      <c r="C2547" s="3" t="s">
        <v>234</v>
      </c>
      <c r="D2547" s="3" t="s">
        <v>160</v>
      </c>
      <c r="E2547" s="3" t="s">
        <v>4386</v>
      </c>
      <c r="F2547" s="4">
        <v>43775.79583333333</v>
      </c>
      <c r="G2547" s="3"/>
      <c r="H2547" s="3"/>
      <c r="I2547" s="3" t="s">
        <v>7043</v>
      </c>
      <c r="J2547" s="3"/>
      <c r="K2547" s="3"/>
      <c r="L2547" s="5" t="str">
        <f>HYPERLINK("NATIVE_FILES\FOIA-FWS-2020-00724-0002546.prj","FOIA-FWS-2020-00724-0002546.prj")</f>
        <v>FOIA-FWS-2020-00724-0002546.prj</v>
      </c>
    </row>
    <row r="2548" spans="1:12" ht="28.8" x14ac:dyDescent="0.55000000000000004">
      <c r="A2548" s="9" t="str">
        <f>HYPERLINK("PDF\FOIA-FWS-2020-00724-0002547.pdf","FOIA-FWS-2020-00724-0002547")</f>
        <v>FOIA-FWS-2020-00724-0002547</v>
      </c>
      <c r="B2548" s="3" t="s">
        <v>4384</v>
      </c>
      <c r="C2548" s="3" t="s">
        <v>234</v>
      </c>
      <c r="D2548" s="3" t="s">
        <v>160</v>
      </c>
      <c r="E2548" s="3" t="s">
        <v>4387</v>
      </c>
      <c r="F2548" s="4">
        <v>43775.79583333333</v>
      </c>
      <c r="G2548" s="3"/>
      <c r="H2548" s="3"/>
      <c r="I2548" s="3" t="s">
        <v>7043</v>
      </c>
      <c r="J2548" s="3"/>
      <c r="K2548" s="3"/>
      <c r="L2548" s="5" t="str">
        <f>HYPERLINK("NATIVE_FILES\FOIA-FWS-2020-00724-0002547.sbn","FOIA-FWS-2020-00724-0002547.sbn")</f>
        <v>FOIA-FWS-2020-00724-0002547.sbn</v>
      </c>
    </row>
    <row r="2549" spans="1:12" ht="28.8" x14ac:dyDescent="0.55000000000000004">
      <c r="A2549" s="9" t="str">
        <f>HYPERLINK("PDF\FOIA-FWS-2020-00724-0002548.pdf","FOIA-FWS-2020-00724-0002548")</f>
        <v>FOIA-FWS-2020-00724-0002548</v>
      </c>
      <c r="B2549" s="3" t="s">
        <v>4384</v>
      </c>
      <c r="C2549" s="3" t="s">
        <v>234</v>
      </c>
      <c r="D2549" s="3" t="s">
        <v>160</v>
      </c>
      <c r="E2549" s="3" t="s">
        <v>4388</v>
      </c>
      <c r="F2549" s="4">
        <v>43775.79583333333</v>
      </c>
      <c r="G2549" s="3"/>
      <c r="H2549" s="3"/>
      <c r="I2549" s="3" t="s">
        <v>7043</v>
      </c>
      <c r="J2549" s="3"/>
      <c r="K2549" s="3"/>
      <c r="L2549" s="5" t="str">
        <f>HYPERLINK("NATIVE_FILES\FOIA-FWS-2020-00724-0002548.sbx","FOIA-FWS-2020-00724-0002548.sbx")</f>
        <v>FOIA-FWS-2020-00724-0002548.sbx</v>
      </c>
    </row>
    <row r="2550" spans="1:12" ht="28.8" x14ac:dyDescent="0.55000000000000004">
      <c r="A2550" s="9" t="str">
        <f>HYPERLINK("PDF\FOIA-FWS-2020-00724-0002549.pdf","FOIA-FWS-2020-00724-0002549")</f>
        <v>FOIA-FWS-2020-00724-0002549</v>
      </c>
      <c r="B2550" s="3" t="s">
        <v>4384</v>
      </c>
      <c r="C2550" s="3" t="s">
        <v>234</v>
      </c>
      <c r="D2550" s="3" t="s">
        <v>160</v>
      </c>
      <c r="E2550" s="3" t="s">
        <v>4389</v>
      </c>
      <c r="F2550" s="4">
        <v>43775.79583333333</v>
      </c>
      <c r="G2550" s="3"/>
      <c r="H2550" s="3"/>
      <c r="I2550" s="3" t="s">
        <v>7043</v>
      </c>
      <c r="J2550" s="3"/>
      <c r="K2550" s="3"/>
      <c r="L2550" s="5" t="str">
        <f>HYPERLINK("NATIVE_FILES\FOIA-FWS-2020-00724-0002549.shp","FOIA-FWS-2020-00724-0002549.shp")</f>
        <v>FOIA-FWS-2020-00724-0002549.shp</v>
      </c>
    </row>
    <row r="2551" spans="1:12" ht="28.8" x14ac:dyDescent="0.55000000000000004">
      <c r="A2551" s="9" t="str">
        <f>HYPERLINK("PDF\FOIA-FWS-2020-00724-0002550.pdf","FOIA-FWS-2020-00724-0002550")</f>
        <v>FOIA-FWS-2020-00724-0002550</v>
      </c>
      <c r="B2551" s="3" t="s">
        <v>4384</v>
      </c>
      <c r="C2551" s="3" t="s">
        <v>234</v>
      </c>
      <c r="D2551" s="3" t="s">
        <v>160</v>
      </c>
      <c r="E2551" s="3" t="s">
        <v>4390</v>
      </c>
      <c r="F2551" s="4">
        <v>43775.79583333333</v>
      </c>
      <c r="G2551" s="3"/>
      <c r="H2551" s="3"/>
      <c r="I2551" s="3" t="s">
        <v>7043</v>
      </c>
      <c r="J2551" s="3"/>
      <c r="K2551" s="3"/>
      <c r="L2551" s="5" t="str">
        <f>HYPERLINK("NATIVE_FILES\FOIA-FWS-2020-00724-0002550.shx","FOIA-FWS-2020-00724-0002550.shx")</f>
        <v>FOIA-FWS-2020-00724-0002550.shx</v>
      </c>
    </row>
    <row r="2552" spans="1:12" ht="28.8" x14ac:dyDescent="0.55000000000000004">
      <c r="A2552" s="9" t="str">
        <f>HYPERLINK("PDF\FOIA-FWS-2020-00724-0002551.pdf","FOIA-FWS-2020-00724-0002551")</f>
        <v>FOIA-FWS-2020-00724-0002551</v>
      </c>
      <c r="B2552" s="3" t="s">
        <v>4391</v>
      </c>
      <c r="C2552" s="3" t="s">
        <v>3</v>
      </c>
      <c r="D2552" s="3" t="s">
        <v>33</v>
      </c>
      <c r="E2552" s="3" t="s">
        <v>4379</v>
      </c>
      <c r="F2552" s="4">
        <v>43775.796527777777</v>
      </c>
      <c r="G2552" s="3" t="s">
        <v>872</v>
      </c>
      <c r="H2552" s="3" t="s">
        <v>1489</v>
      </c>
      <c r="I2552" s="3" t="s">
        <v>7043</v>
      </c>
      <c r="J2552" s="3"/>
      <c r="K2552" s="3"/>
      <c r="L2552" s="5"/>
    </row>
    <row r="2553" spans="1:12" ht="28.8" x14ac:dyDescent="0.55000000000000004">
      <c r="A2553" s="9" t="str">
        <f>HYPERLINK("PDF\FOIA-FWS-2020-00724-0002552.pdf","FOIA-FWS-2020-00724-0002552")</f>
        <v>FOIA-FWS-2020-00724-0002552</v>
      </c>
      <c r="B2553" s="3" t="s">
        <v>4391</v>
      </c>
      <c r="C2553" s="3" t="s">
        <v>234</v>
      </c>
      <c r="D2553" s="3" t="s">
        <v>160</v>
      </c>
      <c r="E2553" s="3" t="s">
        <v>4392</v>
      </c>
      <c r="F2553" s="4">
        <v>43775.796527777777</v>
      </c>
      <c r="G2553" s="3"/>
      <c r="H2553" s="3"/>
      <c r="I2553" s="3" t="s">
        <v>7043</v>
      </c>
      <c r="J2553" s="3"/>
      <c r="K2553" s="3"/>
      <c r="L2553" s="5" t="str">
        <f>HYPERLINK("NATIVE_FILES\FOIA-FWS-2020-00724-0002552.dbf","FOIA-FWS-2020-00724-0002552.dbf")</f>
        <v>FOIA-FWS-2020-00724-0002552.dbf</v>
      </c>
    </row>
    <row r="2554" spans="1:12" ht="28.8" x14ac:dyDescent="0.55000000000000004">
      <c r="A2554" s="9" t="str">
        <f>HYPERLINK("PDF\FOIA-FWS-2020-00724-0002553.pdf","FOIA-FWS-2020-00724-0002553")</f>
        <v>FOIA-FWS-2020-00724-0002553</v>
      </c>
      <c r="B2554" s="3" t="s">
        <v>4391</v>
      </c>
      <c r="C2554" s="3" t="s">
        <v>234</v>
      </c>
      <c r="D2554" s="3" t="s">
        <v>160</v>
      </c>
      <c r="E2554" s="3" t="s">
        <v>4393</v>
      </c>
      <c r="F2554" s="4">
        <v>43775.796527777777</v>
      </c>
      <c r="G2554" s="3"/>
      <c r="H2554" s="3"/>
      <c r="I2554" s="3" t="s">
        <v>7043</v>
      </c>
      <c r="J2554" s="3"/>
      <c r="K2554" s="3"/>
      <c r="L2554" s="5" t="str">
        <f>HYPERLINK("NATIVE_FILES\FOIA-FWS-2020-00724-0002553.prj","FOIA-FWS-2020-00724-0002553.prj")</f>
        <v>FOIA-FWS-2020-00724-0002553.prj</v>
      </c>
    </row>
    <row r="2555" spans="1:12" ht="28.8" x14ac:dyDescent="0.55000000000000004">
      <c r="A2555" s="9" t="str">
        <f>HYPERLINK("PDF\FOIA-FWS-2020-00724-0002554.pdf","FOIA-FWS-2020-00724-0002554")</f>
        <v>FOIA-FWS-2020-00724-0002554</v>
      </c>
      <c r="B2555" s="3" t="s">
        <v>4391</v>
      </c>
      <c r="C2555" s="3" t="s">
        <v>234</v>
      </c>
      <c r="D2555" s="3" t="s">
        <v>160</v>
      </c>
      <c r="E2555" s="3" t="s">
        <v>4394</v>
      </c>
      <c r="F2555" s="4">
        <v>43775.796527777777</v>
      </c>
      <c r="G2555" s="3"/>
      <c r="H2555" s="3"/>
      <c r="I2555" s="3" t="s">
        <v>7043</v>
      </c>
      <c r="J2555" s="3"/>
      <c r="K2555" s="3"/>
      <c r="L2555" s="5" t="str">
        <f>HYPERLINK("NATIVE_FILES\FOIA-FWS-2020-00724-0002554.shp","FOIA-FWS-2020-00724-0002554.shp")</f>
        <v>FOIA-FWS-2020-00724-0002554.shp</v>
      </c>
    </row>
    <row r="2556" spans="1:12" ht="28.8" x14ac:dyDescent="0.55000000000000004">
      <c r="A2556" s="9" t="str">
        <f>HYPERLINK("PDF\FOIA-FWS-2020-00724-0002555.pdf","FOIA-FWS-2020-00724-0002555")</f>
        <v>FOIA-FWS-2020-00724-0002555</v>
      </c>
      <c r="B2556" s="3" t="s">
        <v>4391</v>
      </c>
      <c r="C2556" s="3" t="s">
        <v>234</v>
      </c>
      <c r="D2556" s="3" t="s">
        <v>160</v>
      </c>
      <c r="E2556" s="3" t="s">
        <v>4395</v>
      </c>
      <c r="F2556" s="4">
        <v>43775.796527777777</v>
      </c>
      <c r="G2556" s="3"/>
      <c r="H2556" s="3"/>
      <c r="I2556" s="3" t="s">
        <v>7043</v>
      </c>
      <c r="J2556" s="3"/>
      <c r="K2556" s="3"/>
      <c r="L2556" s="5" t="str">
        <f>HYPERLINK("NATIVE_FILES\FOIA-FWS-2020-00724-0002555.shx","FOIA-FWS-2020-00724-0002555.shx")</f>
        <v>FOIA-FWS-2020-00724-0002555.shx</v>
      </c>
    </row>
    <row r="2557" spans="1:12" ht="28.8" x14ac:dyDescent="0.55000000000000004">
      <c r="A2557" s="9" t="str">
        <f>HYPERLINK("PDF\FOIA-FWS-2020-00724-0002556.pdf","FOIA-FWS-2020-00724-0002556")</f>
        <v>FOIA-FWS-2020-00724-0002556</v>
      </c>
      <c r="B2557" s="3" t="s">
        <v>4396</v>
      </c>
      <c r="C2557" s="3" t="s">
        <v>3</v>
      </c>
      <c r="D2557" s="3" t="s">
        <v>1678</v>
      </c>
      <c r="E2557" s="3" t="s">
        <v>4375</v>
      </c>
      <c r="F2557" s="4">
        <v>43775.811111111114</v>
      </c>
      <c r="G2557" s="3" t="s">
        <v>1024</v>
      </c>
      <c r="H2557" s="3" t="s">
        <v>2179</v>
      </c>
      <c r="I2557" s="3" t="s">
        <v>7043</v>
      </c>
      <c r="J2557" s="3"/>
      <c r="K2557" s="3"/>
      <c r="L2557" s="5"/>
    </row>
    <row r="2558" spans="1:12" ht="28.8" x14ac:dyDescent="0.55000000000000004">
      <c r="A2558" s="9" t="str">
        <f>HYPERLINK("PDF\FOIA-FWS-2020-00724-0002557.pdf","FOIA-FWS-2020-00724-0002557")</f>
        <v>FOIA-FWS-2020-00724-0002557</v>
      </c>
      <c r="B2558" s="3" t="s">
        <v>4397</v>
      </c>
      <c r="C2558" s="3" t="s">
        <v>3</v>
      </c>
      <c r="D2558" s="3" t="s">
        <v>38</v>
      </c>
      <c r="E2558" s="3" t="s">
        <v>4398</v>
      </c>
      <c r="F2558" s="4">
        <v>43776</v>
      </c>
      <c r="G2558" s="3"/>
      <c r="H2558" s="3"/>
      <c r="I2558" s="3" t="s">
        <v>7043</v>
      </c>
      <c r="J2558" s="3"/>
      <c r="K2558" s="3"/>
      <c r="L2558" s="5"/>
    </row>
    <row r="2559" spans="1:12" ht="28.8" x14ac:dyDescent="0.55000000000000004">
      <c r="A2559" s="9" t="str">
        <f>HYPERLINK("PDF\FOIA-FWS-2020-00724-0002558.pdf","FOIA-FWS-2020-00724-0002558")</f>
        <v>FOIA-FWS-2020-00724-0002558</v>
      </c>
      <c r="B2559" s="3" t="s">
        <v>4399</v>
      </c>
      <c r="C2559" s="3"/>
      <c r="D2559" s="3" t="s">
        <v>160</v>
      </c>
      <c r="E2559" s="3" t="s">
        <v>4400</v>
      </c>
      <c r="F2559" s="4">
        <v>43776</v>
      </c>
      <c r="G2559" s="3"/>
      <c r="H2559" s="3"/>
      <c r="I2559" s="3" t="s">
        <v>7043</v>
      </c>
      <c r="J2559" s="3"/>
      <c r="K2559" s="3"/>
      <c r="L2559" s="5" t="str">
        <f>HYPERLINK("NATIVE_FILES\FOIA-FWS-2020-00724-0002558.zip","FOIA-FWS-2020-00724-0002558.zip")</f>
        <v>FOIA-FWS-2020-00724-0002558.zip</v>
      </c>
    </row>
    <row r="2560" spans="1:12" ht="28.8" x14ac:dyDescent="0.55000000000000004">
      <c r="A2560" s="9" t="str">
        <f>HYPERLINK("PDF\FOIA-FWS-2020-00724-0002559.pdf","FOIA-FWS-2020-00724-0002559")</f>
        <v>FOIA-FWS-2020-00724-0002559</v>
      </c>
      <c r="B2560" s="3" t="s">
        <v>4401</v>
      </c>
      <c r="C2560" s="3" t="s">
        <v>3</v>
      </c>
      <c r="D2560" s="3" t="s">
        <v>51</v>
      </c>
      <c r="E2560" s="3" t="s">
        <v>1852</v>
      </c>
      <c r="F2560" s="4">
        <v>43776</v>
      </c>
      <c r="G2560" s="3"/>
      <c r="H2560" s="3"/>
      <c r="I2560" s="3" t="s">
        <v>7043</v>
      </c>
      <c r="J2560" s="3"/>
      <c r="K2560" s="3"/>
      <c r="L2560" s="5"/>
    </row>
    <row r="2561" spans="1:12" ht="43.2" x14ac:dyDescent="0.55000000000000004">
      <c r="A2561" s="9" t="str">
        <f>HYPERLINK("PDF\FOIA-FWS-2020-00724-0002560.pdf","FOIA-FWS-2020-00724-0002560")</f>
        <v>FOIA-FWS-2020-00724-0002560</v>
      </c>
      <c r="B2561" s="3" t="s">
        <v>4402</v>
      </c>
      <c r="C2561" s="3" t="s">
        <v>3</v>
      </c>
      <c r="D2561" s="3" t="s">
        <v>33</v>
      </c>
      <c r="E2561" s="3" t="s">
        <v>4404</v>
      </c>
      <c r="F2561" s="4">
        <v>43776.540972222225</v>
      </c>
      <c r="G2561" s="3" t="s">
        <v>4328</v>
      </c>
      <c r="H2561" s="3" t="s">
        <v>4403</v>
      </c>
      <c r="I2561" s="3" t="s">
        <v>7043</v>
      </c>
      <c r="J2561" s="3"/>
      <c r="K2561" s="3"/>
      <c r="L2561" s="5"/>
    </row>
    <row r="2562" spans="1:12" ht="28.8" x14ac:dyDescent="0.55000000000000004">
      <c r="A2562" s="9" t="str">
        <f>HYPERLINK("PDF\FOIA-FWS-2020-00724-0002561.pdf","FOIA-FWS-2020-00724-0002561")</f>
        <v>FOIA-FWS-2020-00724-0002561</v>
      </c>
      <c r="B2562" s="3" t="s">
        <v>4402</v>
      </c>
      <c r="C2562" s="3" t="s">
        <v>234</v>
      </c>
      <c r="D2562" s="3" t="s">
        <v>33</v>
      </c>
      <c r="E2562" s="3" t="s">
        <v>4405</v>
      </c>
      <c r="F2562" s="4">
        <v>43776.540972222225</v>
      </c>
      <c r="G2562" s="3"/>
      <c r="H2562" s="3"/>
      <c r="I2562" s="3" t="s">
        <v>7043</v>
      </c>
      <c r="J2562" s="3"/>
      <c r="K2562" s="3"/>
      <c r="L2562" s="5"/>
    </row>
    <row r="2563" spans="1:12" ht="43.2" x14ac:dyDescent="0.55000000000000004">
      <c r="A2563" s="9" t="str">
        <f>HYPERLINK("PDF\FOIA-FWS-2020-00724-0002562.pdf","FOIA-FWS-2020-00724-0002562")</f>
        <v>FOIA-FWS-2020-00724-0002562</v>
      </c>
      <c r="B2563" s="3" t="s">
        <v>4406</v>
      </c>
      <c r="C2563" s="3" t="s">
        <v>3</v>
      </c>
      <c r="D2563" s="3" t="s">
        <v>33</v>
      </c>
      <c r="E2563" s="3" t="s">
        <v>4407</v>
      </c>
      <c r="F2563" s="4">
        <v>43776.711805555555</v>
      </c>
      <c r="G2563" s="3" t="s">
        <v>955</v>
      </c>
      <c r="H2563" s="3" t="s">
        <v>2645</v>
      </c>
      <c r="I2563" s="3" t="s">
        <v>7043</v>
      </c>
      <c r="J2563" s="3"/>
      <c r="K2563" s="3"/>
      <c r="L2563" s="5"/>
    </row>
    <row r="2564" spans="1:12" ht="28.8" x14ac:dyDescent="0.55000000000000004">
      <c r="A2564" s="9" t="str">
        <f>HYPERLINK("PDF\FOIA-FWS-2020-00724-0002563.pdf","FOIA-FWS-2020-00724-0002563")</f>
        <v>FOIA-FWS-2020-00724-0002563</v>
      </c>
      <c r="B2564" s="3" t="s">
        <v>4408</v>
      </c>
      <c r="C2564" s="3" t="s">
        <v>3</v>
      </c>
      <c r="D2564" s="3" t="s">
        <v>33</v>
      </c>
      <c r="E2564" s="3" t="s">
        <v>4409</v>
      </c>
      <c r="F2564" s="4">
        <v>43776.760416666664</v>
      </c>
      <c r="G2564" s="3" t="s">
        <v>861</v>
      </c>
      <c r="H2564" s="3" t="s">
        <v>861</v>
      </c>
      <c r="I2564" s="3" t="s">
        <v>7043</v>
      </c>
      <c r="J2564" s="3"/>
      <c r="K2564" s="3"/>
      <c r="L2564" s="5"/>
    </row>
    <row r="2565" spans="1:12" ht="28.8" x14ac:dyDescent="0.55000000000000004">
      <c r="A2565" s="9" t="str">
        <f>HYPERLINK("PDF\FOIA-FWS-2020-00724-0002564.pdf","FOIA-FWS-2020-00724-0002564")</f>
        <v>FOIA-FWS-2020-00724-0002564</v>
      </c>
      <c r="B2565" s="3" t="s">
        <v>4408</v>
      </c>
      <c r="C2565" s="3" t="s">
        <v>234</v>
      </c>
      <c r="D2565" s="3" t="s">
        <v>33</v>
      </c>
      <c r="E2565" s="3" t="s">
        <v>4410</v>
      </c>
      <c r="F2565" s="4">
        <v>43776.760416666664</v>
      </c>
      <c r="G2565" s="3"/>
      <c r="H2565" s="3"/>
      <c r="I2565" s="3" t="s">
        <v>7043</v>
      </c>
      <c r="J2565" s="3"/>
      <c r="K2565" s="3"/>
      <c r="L2565" s="5"/>
    </row>
    <row r="2566" spans="1:12" ht="43.2" x14ac:dyDescent="0.55000000000000004">
      <c r="A2566" s="9" t="str">
        <f>HYPERLINK("PDF\FOIA-FWS-2020-00724-0002565.pdf","FOIA-FWS-2020-00724-0002565")</f>
        <v>FOIA-FWS-2020-00724-0002565</v>
      </c>
      <c r="B2566" s="3" t="s">
        <v>4411</v>
      </c>
      <c r="C2566" s="3" t="s">
        <v>3</v>
      </c>
      <c r="D2566" s="3" t="s">
        <v>33</v>
      </c>
      <c r="E2566" s="3" t="s">
        <v>4413</v>
      </c>
      <c r="F2566" s="4">
        <v>43776.857638888891</v>
      </c>
      <c r="G2566" s="3" t="s">
        <v>1392</v>
      </c>
      <c r="H2566" s="3" t="s">
        <v>4412</v>
      </c>
      <c r="I2566" s="3" t="s">
        <v>7043</v>
      </c>
      <c r="J2566" s="3"/>
      <c r="K2566" s="3"/>
      <c r="L2566" s="5"/>
    </row>
    <row r="2567" spans="1:12" ht="28.8" x14ac:dyDescent="0.55000000000000004">
      <c r="A2567" s="9" t="str">
        <f>HYPERLINK("PDF\FOIA-FWS-2020-00724-0002566.pdf","FOIA-FWS-2020-00724-0002566")</f>
        <v>FOIA-FWS-2020-00724-0002566</v>
      </c>
      <c r="B2567" s="3" t="s">
        <v>4414</v>
      </c>
      <c r="C2567" s="3" t="s">
        <v>3</v>
      </c>
      <c r="D2567" s="3" t="s">
        <v>38</v>
      </c>
      <c r="E2567" s="3" t="s">
        <v>4415</v>
      </c>
      <c r="F2567" s="4">
        <v>43777</v>
      </c>
      <c r="G2567" s="3"/>
      <c r="H2567" s="3"/>
      <c r="I2567" s="3" t="s">
        <v>7043</v>
      </c>
      <c r="J2567" s="3"/>
      <c r="K2567" s="3"/>
      <c r="L2567" s="5"/>
    </row>
    <row r="2568" spans="1:12" ht="28.8" x14ac:dyDescent="0.55000000000000004">
      <c r="A2568" s="9" t="str">
        <f>HYPERLINK("PDF\FOIA-FWS-2020-00724-0002567.pdf","FOIA-FWS-2020-00724-0002567")</f>
        <v>FOIA-FWS-2020-00724-0002567</v>
      </c>
      <c r="B2568" s="3" t="s">
        <v>4416</v>
      </c>
      <c r="C2568" s="3" t="s">
        <v>3</v>
      </c>
      <c r="D2568" s="3" t="s">
        <v>38</v>
      </c>
      <c r="E2568" s="3" t="s">
        <v>4417</v>
      </c>
      <c r="F2568" s="4">
        <v>43777</v>
      </c>
      <c r="G2568" s="3"/>
      <c r="H2568" s="3"/>
      <c r="I2568" s="3" t="s">
        <v>7043</v>
      </c>
      <c r="J2568" s="3"/>
      <c r="K2568" s="3"/>
      <c r="L2568" s="5"/>
    </row>
    <row r="2569" spans="1:12" ht="28.8" x14ac:dyDescent="0.55000000000000004">
      <c r="A2569" s="9" t="str">
        <f>HYPERLINK("PDF\FOIA-FWS-2020-00724-0002568.pdf","FOIA-FWS-2020-00724-0002568")</f>
        <v>FOIA-FWS-2020-00724-0002568</v>
      </c>
      <c r="B2569" s="3" t="s">
        <v>4418</v>
      </c>
      <c r="C2569" s="3" t="s">
        <v>3</v>
      </c>
      <c r="D2569" s="3" t="s">
        <v>33</v>
      </c>
      <c r="E2569" s="3" t="s">
        <v>4419</v>
      </c>
      <c r="F2569" s="4">
        <v>43777.600694444445</v>
      </c>
      <c r="G2569" s="3" t="s">
        <v>955</v>
      </c>
      <c r="H2569" s="3" t="s">
        <v>1392</v>
      </c>
      <c r="I2569" s="3" t="s">
        <v>7043</v>
      </c>
      <c r="J2569" s="3"/>
      <c r="K2569" s="3"/>
      <c r="L2569" s="5"/>
    </row>
    <row r="2570" spans="1:12" ht="28.8" x14ac:dyDescent="0.55000000000000004">
      <c r="A2570" s="9" t="str">
        <f>HYPERLINK("PDF\FOIA-FWS-2020-00724-0002569.pdf","FOIA-FWS-2020-00724-0002569")</f>
        <v>FOIA-FWS-2020-00724-0002569</v>
      </c>
      <c r="B2570" s="3" t="s">
        <v>4420</v>
      </c>
      <c r="C2570" s="3" t="s">
        <v>3</v>
      </c>
      <c r="D2570" s="3" t="s">
        <v>33</v>
      </c>
      <c r="E2570" s="3" t="s">
        <v>4421</v>
      </c>
      <c r="F2570" s="4">
        <v>43777.616666666669</v>
      </c>
      <c r="G2570" s="3" t="s">
        <v>955</v>
      </c>
      <c r="H2570" s="3" t="s">
        <v>861</v>
      </c>
      <c r="I2570" s="3" t="s">
        <v>7043</v>
      </c>
      <c r="J2570" s="3"/>
      <c r="K2570" s="3"/>
      <c r="L2570" s="5"/>
    </row>
    <row r="2571" spans="1:12" ht="28.8" x14ac:dyDescent="0.55000000000000004">
      <c r="A2571" s="9" t="str">
        <f>HYPERLINK("PDF\FOIA-FWS-2020-00724-0002570.pdf","FOIA-FWS-2020-00724-0002570")</f>
        <v>FOIA-FWS-2020-00724-0002570</v>
      </c>
      <c r="B2571" s="3" t="s">
        <v>4422</v>
      </c>
      <c r="C2571" s="3" t="s">
        <v>3</v>
      </c>
      <c r="D2571" s="3" t="s">
        <v>38</v>
      </c>
      <c r="E2571" s="3" t="s">
        <v>4423</v>
      </c>
      <c r="F2571" s="4">
        <v>43781</v>
      </c>
      <c r="G2571" s="3"/>
      <c r="H2571" s="3"/>
      <c r="I2571" s="3" t="s">
        <v>7043</v>
      </c>
      <c r="J2571" s="3"/>
      <c r="K2571" s="3"/>
      <c r="L2571" s="5"/>
    </row>
    <row r="2572" spans="1:12" ht="28.8" x14ac:dyDescent="0.55000000000000004">
      <c r="A2572" s="9" t="str">
        <f>HYPERLINK("PDF\FOIA-FWS-2020-00724-0002571.pdf","FOIA-FWS-2020-00724-0002571")</f>
        <v>FOIA-FWS-2020-00724-0002571</v>
      </c>
      <c r="B2572" s="3" t="s">
        <v>4424</v>
      </c>
      <c r="C2572" s="3" t="s">
        <v>3</v>
      </c>
      <c r="D2572" s="3" t="s">
        <v>33</v>
      </c>
      <c r="E2572" s="3" t="s">
        <v>4425</v>
      </c>
      <c r="F2572" s="4">
        <v>43781.442361111112</v>
      </c>
      <c r="G2572" s="3" t="s">
        <v>1730</v>
      </c>
      <c r="H2572" s="3" t="s">
        <v>1489</v>
      </c>
      <c r="I2572" s="3" t="s">
        <v>7043</v>
      </c>
      <c r="J2572" s="3"/>
      <c r="K2572" s="3"/>
      <c r="L2572" s="5"/>
    </row>
    <row r="2573" spans="1:12" ht="28.8" x14ac:dyDescent="0.55000000000000004">
      <c r="A2573" s="9" t="str">
        <f>HYPERLINK("PDF\FOIA-FWS-2020-00724-0002572.pdf","FOIA-FWS-2020-00724-0002572")</f>
        <v>FOIA-FWS-2020-00724-0002572</v>
      </c>
      <c r="B2573" s="3" t="s">
        <v>4426</v>
      </c>
      <c r="C2573" s="3" t="s">
        <v>3</v>
      </c>
      <c r="D2573" s="3" t="s">
        <v>33</v>
      </c>
      <c r="E2573" s="3" t="s">
        <v>4428</v>
      </c>
      <c r="F2573" s="4">
        <v>43781.522222222222</v>
      </c>
      <c r="G2573" s="3" t="s">
        <v>4427</v>
      </c>
      <c r="H2573" s="3" t="s">
        <v>872</v>
      </c>
      <c r="I2573" s="3" t="s">
        <v>7043</v>
      </c>
      <c r="J2573" s="3"/>
      <c r="K2573" s="3"/>
      <c r="L2573" s="5"/>
    </row>
    <row r="2574" spans="1:12" ht="28.8" x14ac:dyDescent="0.55000000000000004">
      <c r="A2574" s="9" t="str">
        <f>HYPERLINK("PDF\FOIA-FWS-2020-00724-0002573.pdf","FOIA-FWS-2020-00724-0002573")</f>
        <v>FOIA-FWS-2020-00724-0002573</v>
      </c>
      <c r="B2574" s="3" t="s">
        <v>4426</v>
      </c>
      <c r="C2574" s="3" t="s">
        <v>234</v>
      </c>
      <c r="D2574" s="3" t="s">
        <v>33</v>
      </c>
      <c r="E2574" s="3" t="s">
        <v>4429</v>
      </c>
      <c r="F2574" s="4">
        <v>43781.522222222222</v>
      </c>
      <c r="G2574" s="3"/>
      <c r="H2574" s="3"/>
      <c r="I2574" s="3" t="s">
        <v>7043</v>
      </c>
      <c r="J2574" s="3"/>
      <c r="K2574" s="3"/>
      <c r="L2574" s="5"/>
    </row>
    <row r="2575" spans="1:12" ht="28.8" x14ac:dyDescent="0.55000000000000004">
      <c r="A2575" s="9" t="str">
        <f>HYPERLINK("PDF\FOIA-FWS-2020-00724-0002574.pdf","FOIA-FWS-2020-00724-0002574")</f>
        <v>FOIA-FWS-2020-00724-0002574</v>
      </c>
      <c r="B2575" s="3" t="s">
        <v>4430</v>
      </c>
      <c r="C2575" s="3" t="s">
        <v>3</v>
      </c>
      <c r="D2575" s="3" t="s">
        <v>33</v>
      </c>
      <c r="E2575" s="3" t="s">
        <v>4425</v>
      </c>
      <c r="F2575" s="4">
        <v>43781.537499999999</v>
      </c>
      <c r="G2575" s="3" t="s">
        <v>1489</v>
      </c>
      <c r="H2575" s="3" t="s">
        <v>1730</v>
      </c>
      <c r="I2575" s="3" t="s">
        <v>7043</v>
      </c>
      <c r="J2575" s="3"/>
      <c r="K2575" s="3"/>
      <c r="L2575" s="5"/>
    </row>
    <row r="2576" spans="1:12" ht="28.8" x14ac:dyDescent="0.55000000000000004">
      <c r="A2576" s="9" t="str">
        <f>HYPERLINK("PDF\FOIA-FWS-2020-00724-0002575.pdf","FOIA-FWS-2020-00724-0002575")</f>
        <v>FOIA-FWS-2020-00724-0002575</v>
      </c>
      <c r="B2576" s="3" t="s">
        <v>4431</v>
      </c>
      <c r="C2576" s="3" t="s">
        <v>3</v>
      </c>
      <c r="D2576" s="3" t="s">
        <v>33</v>
      </c>
      <c r="E2576" s="3" t="s">
        <v>4432</v>
      </c>
      <c r="F2576" s="4">
        <v>43781.55972222222</v>
      </c>
      <c r="G2576" s="3" t="s">
        <v>872</v>
      </c>
      <c r="H2576" s="3" t="s">
        <v>4427</v>
      </c>
      <c r="I2576" s="3" t="s">
        <v>7043</v>
      </c>
      <c r="J2576" s="3"/>
      <c r="K2576" s="3"/>
      <c r="L2576" s="5"/>
    </row>
    <row r="2577" spans="1:12" ht="28.8" x14ac:dyDescent="0.55000000000000004">
      <c r="A2577" s="9" t="str">
        <f>HYPERLINK("PDF\FOIA-FWS-2020-00724-0002576.pdf","FOIA-FWS-2020-00724-0002576")</f>
        <v>FOIA-FWS-2020-00724-0002576</v>
      </c>
      <c r="B2577" s="3" t="s">
        <v>4433</v>
      </c>
      <c r="C2577" s="3" t="s">
        <v>3</v>
      </c>
      <c r="D2577" s="3" t="s">
        <v>33</v>
      </c>
      <c r="E2577" s="3" t="s">
        <v>4435</v>
      </c>
      <c r="F2577" s="4">
        <v>43781.603472222225</v>
      </c>
      <c r="G2577" s="3" t="s">
        <v>4434</v>
      </c>
      <c r="H2577" s="3" t="s">
        <v>2179</v>
      </c>
      <c r="I2577" s="3" t="s">
        <v>7043</v>
      </c>
      <c r="J2577" s="3"/>
      <c r="K2577" s="3"/>
      <c r="L2577" s="5"/>
    </row>
    <row r="2578" spans="1:12" ht="28.8" x14ac:dyDescent="0.55000000000000004">
      <c r="A2578" s="9" t="str">
        <f>HYPERLINK("PDF\FOIA-FWS-2020-00724-0002577.pdf","FOIA-FWS-2020-00724-0002577")</f>
        <v>FOIA-FWS-2020-00724-0002577</v>
      </c>
      <c r="B2578" s="3" t="s">
        <v>4433</v>
      </c>
      <c r="C2578" s="3" t="s">
        <v>234</v>
      </c>
      <c r="D2578" s="3" t="s">
        <v>33</v>
      </c>
      <c r="E2578" s="3" t="s">
        <v>4436</v>
      </c>
      <c r="F2578" s="4">
        <v>43781.603472222225</v>
      </c>
      <c r="G2578" s="3"/>
      <c r="H2578" s="3"/>
      <c r="I2578" s="3" t="s">
        <v>7043</v>
      </c>
      <c r="J2578" s="3"/>
      <c r="K2578" s="3"/>
      <c r="L2578" s="5"/>
    </row>
    <row r="2579" spans="1:12" ht="28.8" x14ac:dyDescent="0.55000000000000004">
      <c r="A2579" s="9" t="str">
        <f>HYPERLINK("PDF\FOIA-FWS-2020-00724-0002578.pdf","FOIA-FWS-2020-00724-0002578")</f>
        <v>FOIA-FWS-2020-00724-0002578</v>
      </c>
      <c r="B2579" s="3" t="s">
        <v>4437</v>
      </c>
      <c r="C2579" s="3" t="s">
        <v>3</v>
      </c>
      <c r="D2579" s="3" t="s">
        <v>33</v>
      </c>
      <c r="E2579" s="3" t="s">
        <v>4438</v>
      </c>
      <c r="F2579" s="4">
        <v>43781.606944444444</v>
      </c>
      <c r="G2579" s="3" t="s">
        <v>4434</v>
      </c>
      <c r="H2579" s="3" t="s">
        <v>2179</v>
      </c>
      <c r="I2579" s="3" t="s">
        <v>7043</v>
      </c>
      <c r="J2579" s="3"/>
      <c r="K2579" s="3"/>
      <c r="L2579" s="5"/>
    </row>
    <row r="2580" spans="1:12" ht="28.8" x14ac:dyDescent="0.55000000000000004">
      <c r="A2580" s="9" t="str">
        <f>HYPERLINK("PDF\FOIA-FWS-2020-00724-0002579.pdf","FOIA-FWS-2020-00724-0002579")</f>
        <v>FOIA-FWS-2020-00724-0002579</v>
      </c>
      <c r="B2580" s="3" t="s">
        <v>4437</v>
      </c>
      <c r="C2580" s="3" t="s">
        <v>234</v>
      </c>
      <c r="D2580" s="3" t="s">
        <v>33</v>
      </c>
      <c r="E2580" s="3" t="s">
        <v>4439</v>
      </c>
      <c r="F2580" s="4">
        <v>43781.606944444444</v>
      </c>
      <c r="G2580" s="3"/>
      <c r="H2580" s="3"/>
      <c r="I2580" s="3" t="s">
        <v>7043</v>
      </c>
      <c r="J2580" s="3"/>
      <c r="K2580" s="3"/>
      <c r="L2580" s="5"/>
    </row>
    <row r="2581" spans="1:12" ht="28.8" x14ac:dyDescent="0.55000000000000004">
      <c r="A2581" s="9" t="str">
        <f>HYPERLINK("PDF\FOIA-FWS-2020-00724-0002580.pdf","FOIA-FWS-2020-00724-0002580")</f>
        <v>FOIA-FWS-2020-00724-0002580</v>
      </c>
      <c r="B2581" s="3" t="s">
        <v>4440</v>
      </c>
      <c r="C2581" s="3" t="s">
        <v>3</v>
      </c>
      <c r="D2581" s="3" t="s">
        <v>33</v>
      </c>
      <c r="E2581" s="3" t="s">
        <v>4442</v>
      </c>
      <c r="F2581" s="4">
        <v>43781.791666666664</v>
      </c>
      <c r="G2581" s="3" t="s">
        <v>963</v>
      </c>
      <c r="H2581" s="3" t="s">
        <v>4441</v>
      </c>
      <c r="I2581" s="3" t="s">
        <v>7043</v>
      </c>
      <c r="J2581" s="3"/>
      <c r="K2581" s="3"/>
      <c r="L2581" s="5"/>
    </row>
    <row r="2582" spans="1:12" ht="28.8" x14ac:dyDescent="0.55000000000000004">
      <c r="A2582" s="9" t="str">
        <f>HYPERLINK("PDF\FOIA-FWS-2020-00724-0002581.pdf","FOIA-FWS-2020-00724-0002581")</f>
        <v>FOIA-FWS-2020-00724-0002581</v>
      </c>
      <c r="B2582" s="3" t="s">
        <v>4440</v>
      </c>
      <c r="C2582" s="3" t="s">
        <v>234</v>
      </c>
      <c r="D2582" s="3" t="s">
        <v>33</v>
      </c>
      <c r="E2582" s="3" t="s">
        <v>4443</v>
      </c>
      <c r="F2582" s="4">
        <v>43781.791666666664</v>
      </c>
      <c r="G2582" s="3"/>
      <c r="H2582" s="3"/>
      <c r="I2582" s="3" t="s">
        <v>7043</v>
      </c>
      <c r="J2582" s="3"/>
      <c r="K2582" s="3"/>
      <c r="L2582" s="5"/>
    </row>
    <row r="2583" spans="1:12" ht="28.8" x14ac:dyDescent="0.55000000000000004">
      <c r="A2583" s="9" t="str">
        <f>HYPERLINK("PDF\FOIA-FWS-2020-00724-0002582.pdf","FOIA-FWS-2020-00724-0002582")</f>
        <v>FOIA-FWS-2020-00724-0002582</v>
      </c>
      <c r="B2583" s="3" t="s">
        <v>4444</v>
      </c>
      <c r="C2583" s="3" t="s">
        <v>3</v>
      </c>
      <c r="D2583" s="3" t="s">
        <v>33</v>
      </c>
      <c r="E2583" s="3" t="s">
        <v>4445</v>
      </c>
      <c r="F2583" s="4">
        <v>43782.663194444445</v>
      </c>
      <c r="G2583" s="3" t="s">
        <v>955</v>
      </c>
      <c r="H2583" s="3" t="s">
        <v>1730</v>
      </c>
      <c r="I2583" s="3" t="s">
        <v>7043</v>
      </c>
      <c r="J2583" s="3"/>
      <c r="K2583" s="3"/>
      <c r="L2583" s="5"/>
    </row>
    <row r="2584" spans="1:12" ht="28.8" x14ac:dyDescent="0.55000000000000004">
      <c r="A2584" s="9" t="str">
        <f>HYPERLINK("PDF\FOIA-FWS-2020-00724-0002583.pdf","FOIA-FWS-2020-00724-0002583")</f>
        <v>FOIA-FWS-2020-00724-0002583</v>
      </c>
      <c r="B2584" s="3" t="s">
        <v>4444</v>
      </c>
      <c r="C2584" s="3" t="s">
        <v>234</v>
      </c>
      <c r="D2584" s="3" t="s">
        <v>33</v>
      </c>
      <c r="E2584" s="3" t="s">
        <v>4446</v>
      </c>
      <c r="F2584" s="4">
        <v>43782.663194444445</v>
      </c>
      <c r="G2584" s="3"/>
      <c r="H2584" s="3"/>
      <c r="I2584" s="3" t="s">
        <v>7043</v>
      </c>
      <c r="J2584" s="3"/>
      <c r="K2584" s="3"/>
      <c r="L2584" s="5"/>
    </row>
    <row r="2585" spans="1:12" ht="28.8" x14ac:dyDescent="0.55000000000000004">
      <c r="A2585" s="9" t="str">
        <f>HYPERLINK("PDF\FOIA-FWS-2020-00724-0002584.pdf","FOIA-FWS-2020-00724-0002584")</f>
        <v>FOIA-FWS-2020-00724-0002584</v>
      </c>
      <c r="B2585" s="3" t="s">
        <v>4447</v>
      </c>
      <c r="C2585" s="3" t="s">
        <v>3</v>
      </c>
      <c r="D2585" s="3" t="s">
        <v>33</v>
      </c>
      <c r="E2585" s="3" t="s">
        <v>4449</v>
      </c>
      <c r="F2585" s="4">
        <v>43782.75277777778</v>
      </c>
      <c r="G2585" s="3" t="s">
        <v>1489</v>
      </c>
      <c r="H2585" s="3" t="s">
        <v>4448</v>
      </c>
      <c r="I2585" s="3" t="s">
        <v>7043</v>
      </c>
      <c r="J2585" s="3"/>
      <c r="K2585" s="3"/>
      <c r="L2585" s="5"/>
    </row>
    <row r="2586" spans="1:12" ht="28.8" x14ac:dyDescent="0.55000000000000004">
      <c r="A2586" s="9" t="str">
        <f>HYPERLINK("PDF\FOIA-FWS-2020-00724-0002585.pdf","FOIA-FWS-2020-00724-0002585")</f>
        <v>FOIA-FWS-2020-00724-0002585</v>
      </c>
      <c r="B2586" s="3" t="s">
        <v>4447</v>
      </c>
      <c r="C2586" s="3" t="s">
        <v>234</v>
      </c>
      <c r="D2586" s="3" t="s">
        <v>160</v>
      </c>
      <c r="E2586" s="3" t="s">
        <v>4450</v>
      </c>
      <c r="F2586" s="4">
        <v>43782.75277777778</v>
      </c>
      <c r="G2586" s="3"/>
      <c r="H2586" s="3"/>
      <c r="I2586" s="3" t="s">
        <v>7043</v>
      </c>
      <c r="J2586" s="3"/>
      <c r="K2586" s="3"/>
      <c r="L2586" s="5"/>
    </row>
    <row r="2587" spans="1:12" ht="28.8" x14ac:dyDescent="0.55000000000000004">
      <c r="A2587" s="9" t="str">
        <f>HYPERLINK("PDF\FOIA-FWS-2020-00724-0002586.pdf","FOIA-FWS-2020-00724-0002586")</f>
        <v>FOIA-FWS-2020-00724-0002586</v>
      </c>
      <c r="B2587" s="3" t="s">
        <v>4451</v>
      </c>
      <c r="C2587" s="3" t="s">
        <v>3</v>
      </c>
      <c r="D2587" s="3" t="s">
        <v>38</v>
      </c>
      <c r="E2587" s="3" t="s">
        <v>4452</v>
      </c>
      <c r="F2587" s="4">
        <v>43784</v>
      </c>
      <c r="G2587" s="3"/>
      <c r="H2587" s="3"/>
      <c r="I2587" s="3" t="s">
        <v>7043</v>
      </c>
      <c r="J2587" s="3"/>
      <c r="K2587" s="3"/>
      <c r="L2587" s="5"/>
    </row>
    <row r="2588" spans="1:12" ht="28.8" x14ac:dyDescent="0.55000000000000004">
      <c r="A2588" s="9" t="str">
        <f>HYPERLINK("PDF\FOIA-FWS-2020-00724-0002587.pdf","FOIA-FWS-2020-00724-0002587")</f>
        <v>FOIA-FWS-2020-00724-0002587</v>
      </c>
      <c r="B2588" s="3" t="s">
        <v>4453</v>
      </c>
      <c r="C2588" s="3" t="s">
        <v>3</v>
      </c>
      <c r="D2588" s="3" t="s">
        <v>38</v>
      </c>
      <c r="E2588" s="3" t="s">
        <v>4454</v>
      </c>
      <c r="F2588" s="4">
        <v>43784</v>
      </c>
      <c r="G2588" s="3"/>
      <c r="H2588" s="3"/>
      <c r="I2588" s="3" t="s">
        <v>7043</v>
      </c>
      <c r="J2588" s="3"/>
      <c r="K2588" s="3"/>
      <c r="L2588" s="5"/>
    </row>
    <row r="2589" spans="1:12" ht="28.8" x14ac:dyDescent="0.55000000000000004">
      <c r="A2589" s="9" t="str">
        <f>HYPERLINK("PDF\FOIA-FWS-2020-00724-0002588.pdf","FOIA-FWS-2020-00724-0002588")</f>
        <v>FOIA-FWS-2020-00724-0002588</v>
      </c>
      <c r="B2589" s="3" t="s">
        <v>4455</v>
      </c>
      <c r="C2589" s="3" t="s">
        <v>3</v>
      </c>
      <c r="D2589" s="3" t="s">
        <v>38</v>
      </c>
      <c r="E2589" s="3" t="s">
        <v>4456</v>
      </c>
      <c r="F2589" s="4">
        <v>43784</v>
      </c>
      <c r="G2589" s="3"/>
      <c r="H2589" s="3"/>
      <c r="I2589" s="3" t="s">
        <v>7043</v>
      </c>
      <c r="J2589" s="3"/>
      <c r="K2589" s="3"/>
      <c r="L2589" s="5"/>
    </row>
    <row r="2590" spans="1:12" ht="28.8" x14ac:dyDescent="0.55000000000000004">
      <c r="A2590" s="9" t="str">
        <f>HYPERLINK("PDF\FOIA-FWS-2020-00724-0002589.pdf","FOIA-FWS-2020-00724-0002589")</f>
        <v>FOIA-FWS-2020-00724-0002589</v>
      </c>
      <c r="B2590" s="3" t="s">
        <v>4457</v>
      </c>
      <c r="C2590" s="3" t="s">
        <v>3</v>
      </c>
      <c r="D2590" s="3" t="s">
        <v>38</v>
      </c>
      <c r="E2590" s="3" t="s">
        <v>4458</v>
      </c>
      <c r="F2590" s="4">
        <v>43784</v>
      </c>
      <c r="G2590" s="3"/>
      <c r="H2590" s="3"/>
      <c r="I2590" s="3" t="s">
        <v>7043</v>
      </c>
      <c r="J2590" s="3"/>
      <c r="K2590" s="3"/>
      <c r="L2590" s="5"/>
    </row>
    <row r="2591" spans="1:12" ht="28.8" x14ac:dyDescent="0.55000000000000004">
      <c r="A2591" s="9" t="str">
        <f>HYPERLINK("PDF\FOIA-FWS-2020-00724-0002590.pdf","FOIA-FWS-2020-00724-0002590")</f>
        <v>FOIA-FWS-2020-00724-0002590</v>
      </c>
      <c r="B2591" s="3" t="s">
        <v>4459</v>
      </c>
      <c r="C2591" s="3" t="s">
        <v>3</v>
      </c>
      <c r="D2591" s="3" t="s">
        <v>38</v>
      </c>
      <c r="E2591" s="3" t="s">
        <v>4460</v>
      </c>
      <c r="F2591" s="4">
        <v>43784</v>
      </c>
      <c r="G2591" s="3"/>
      <c r="H2591" s="3"/>
      <c r="I2591" s="3" t="s">
        <v>7043</v>
      </c>
      <c r="J2591" s="3"/>
      <c r="K2591" s="3"/>
      <c r="L2591" s="5"/>
    </row>
    <row r="2592" spans="1:12" ht="28.8" x14ac:dyDescent="0.55000000000000004">
      <c r="A2592" s="9" t="str">
        <f>HYPERLINK("PDF\FOIA-FWS-2020-00724-0002591.pdf","FOIA-FWS-2020-00724-0002591")</f>
        <v>FOIA-FWS-2020-00724-0002591</v>
      </c>
      <c r="B2592" s="3" t="s">
        <v>4461</v>
      </c>
      <c r="C2592" s="3" t="s">
        <v>3</v>
      </c>
      <c r="D2592" s="3" t="s">
        <v>38</v>
      </c>
      <c r="E2592" s="3" t="s">
        <v>4462</v>
      </c>
      <c r="F2592" s="4">
        <v>43787</v>
      </c>
      <c r="G2592" s="3"/>
      <c r="H2592" s="3"/>
      <c r="I2592" s="3" t="s">
        <v>7043</v>
      </c>
      <c r="J2592" s="3"/>
      <c r="K2592" s="3"/>
      <c r="L2592" s="5"/>
    </row>
    <row r="2593" spans="1:12" ht="28.8" x14ac:dyDescent="0.55000000000000004">
      <c r="A2593" s="9" t="str">
        <f>HYPERLINK("PDF\FOIA-FWS-2020-00724-0002592.pdf","FOIA-FWS-2020-00724-0002592")</f>
        <v>FOIA-FWS-2020-00724-0002592</v>
      </c>
      <c r="B2593" s="3" t="s">
        <v>4463</v>
      </c>
      <c r="C2593" s="3" t="s">
        <v>3</v>
      </c>
      <c r="D2593" s="3" t="s">
        <v>33</v>
      </c>
      <c r="E2593" s="3" t="s">
        <v>4464</v>
      </c>
      <c r="F2593" s="4">
        <v>43787.558333333334</v>
      </c>
      <c r="G2593" s="3" t="s">
        <v>2568</v>
      </c>
      <c r="H2593" s="3" t="s">
        <v>1250</v>
      </c>
      <c r="I2593" s="3" t="s">
        <v>7043</v>
      </c>
      <c r="J2593" s="3"/>
      <c r="K2593" s="3"/>
      <c r="L2593" s="5"/>
    </row>
    <row r="2594" spans="1:12" ht="57.6" x14ac:dyDescent="0.55000000000000004">
      <c r="A2594" s="9" t="str">
        <f>HYPERLINK("PDF\FOIA-FWS-2020-00724-0002593.pdf","FOIA-FWS-2020-00724-0002593")</f>
        <v>FOIA-FWS-2020-00724-0002593</v>
      </c>
      <c r="B2594" s="3" t="s">
        <v>4465</v>
      </c>
      <c r="C2594" s="3" t="s">
        <v>3</v>
      </c>
      <c r="D2594" s="3" t="s">
        <v>33</v>
      </c>
      <c r="E2594" s="3" t="s">
        <v>4467</v>
      </c>
      <c r="F2594" s="4">
        <v>43787.586805555555</v>
      </c>
      <c r="G2594" s="3" t="s">
        <v>872</v>
      </c>
      <c r="H2594" s="3" t="s">
        <v>4466</v>
      </c>
      <c r="I2594" s="3" t="s">
        <v>7043</v>
      </c>
      <c r="J2594" s="3"/>
      <c r="K2594" s="3"/>
      <c r="L2594" s="5"/>
    </row>
    <row r="2595" spans="1:12" ht="28.8" x14ac:dyDescent="0.55000000000000004">
      <c r="A2595" s="9" t="str">
        <f>HYPERLINK("PDF\FOIA-FWS-2020-00724-0002594.pdf","FOIA-FWS-2020-00724-0002594")</f>
        <v>FOIA-FWS-2020-00724-0002594</v>
      </c>
      <c r="B2595" s="3" t="s">
        <v>4465</v>
      </c>
      <c r="C2595" s="3" t="s">
        <v>234</v>
      </c>
      <c r="D2595" s="3" t="s">
        <v>33</v>
      </c>
      <c r="E2595" s="3" t="s">
        <v>4468</v>
      </c>
      <c r="F2595" s="4">
        <v>43787.586805555555</v>
      </c>
      <c r="G2595" s="3"/>
      <c r="H2595" s="3"/>
      <c r="I2595" s="3" t="s">
        <v>7043</v>
      </c>
      <c r="J2595" s="3"/>
      <c r="K2595" s="3"/>
      <c r="L2595" s="5"/>
    </row>
    <row r="2596" spans="1:12" ht="28.8" x14ac:dyDescent="0.55000000000000004">
      <c r="A2596" s="9" t="str">
        <f>HYPERLINK("PDF\FOIA-FWS-2020-00724-0002595.pdf","FOIA-FWS-2020-00724-0002595")</f>
        <v>FOIA-FWS-2020-00724-0002595</v>
      </c>
      <c r="B2596" s="3" t="s">
        <v>4469</v>
      </c>
      <c r="C2596" s="3" t="s">
        <v>3</v>
      </c>
      <c r="D2596" s="3" t="s">
        <v>33</v>
      </c>
      <c r="E2596" s="3" t="s">
        <v>4471</v>
      </c>
      <c r="F2596" s="4">
        <v>43788.720138888886</v>
      </c>
      <c r="G2596" s="3" t="s">
        <v>4470</v>
      </c>
      <c r="H2596" s="3" t="s">
        <v>861</v>
      </c>
      <c r="I2596" s="3" t="s">
        <v>7043</v>
      </c>
      <c r="J2596" s="3"/>
      <c r="K2596" s="3"/>
      <c r="L2596" s="5"/>
    </row>
    <row r="2597" spans="1:12" ht="28.8" x14ac:dyDescent="0.55000000000000004">
      <c r="A2597" s="9" t="str">
        <f>HYPERLINK("PDF\FOIA-FWS-2020-00724-0002596.pdf","FOIA-FWS-2020-00724-0002596")</f>
        <v>FOIA-FWS-2020-00724-0002596</v>
      </c>
      <c r="B2597" s="3" t="s">
        <v>4469</v>
      </c>
      <c r="C2597" s="3" t="s">
        <v>234</v>
      </c>
      <c r="D2597" s="3" t="s">
        <v>33</v>
      </c>
      <c r="E2597" s="3" t="s">
        <v>4472</v>
      </c>
      <c r="F2597" s="4">
        <v>43788.720138888886</v>
      </c>
      <c r="G2597" s="3"/>
      <c r="H2597" s="3"/>
      <c r="I2597" s="3" t="s">
        <v>7043</v>
      </c>
      <c r="J2597" s="3"/>
      <c r="K2597" s="3"/>
      <c r="L2597" s="5"/>
    </row>
    <row r="2598" spans="1:12" ht="28.8" x14ac:dyDescent="0.55000000000000004">
      <c r="A2598" s="9" t="str">
        <f>HYPERLINK("PDF\FOIA-FWS-2020-00724-0002597.pdf","FOIA-FWS-2020-00724-0002597")</f>
        <v>FOIA-FWS-2020-00724-0002597</v>
      </c>
      <c r="B2598" s="3" t="s">
        <v>4473</v>
      </c>
      <c r="C2598" s="3" t="s">
        <v>3</v>
      </c>
      <c r="D2598" s="3" t="s">
        <v>33</v>
      </c>
      <c r="E2598" s="3" t="s">
        <v>4474</v>
      </c>
      <c r="F2598" s="4">
        <v>43788.760416666664</v>
      </c>
      <c r="G2598" s="3" t="s">
        <v>1060</v>
      </c>
      <c r="H2598" s="3" t="s">
        <v>1719</v>
      </c>
      <c r="I2598" s="3" t="s">
        <v>7043</v>
      </c>
      <c r="J2598" s="3"/>
      <c r="K2598" s="3"/>
      <c r="L2598" s="5"/>
    </row>
    <row r="2599" spans="1:12" ht="28.8" x14ac:dyDescent="0.55000000000000004">
      <c r="A2599" s="9" t="str">
        <f>HYPERLINK("PDF\FOIA-FWS-2020-00724-0002598.pdf","FOIA-FWS-2020-00724-0002598")</f>
        <v>FOIA-FWS-2020-00724-0002598</v>
      </c>
      <c r="B2599" s="3" t="s">
        <v>4473</v>
      </c>
      <c r="C2599" s="3" t="s">
        <v>234</v>
      </c>
      <c r="D2599" s="3" t="s">
        <v>51</v>
      </c>
      <c r="E2599" s="3" t="s">
        <v>4475</v>
      </c>
      <c r="F2599" s="4">
        <v>43788.760416666664</v>
      </c>
      <c r="G2599" s="3"/>
      <c r="H2599" s="3"/>
      <c r="I2599" s="3" t="s">
        <v>7043</v>
      </c>
      <c r="J2599" s="3"/>
      <c r="K2599" s="3"/>
      <c r="L2599" s="5"/>
    </row>
    <row r="2600" spans="1:12" ht="28.8" x14ac:dyDescent="0.55000000000000004">
      <c r="A2600" s="9" t="str">
        <f>HYPERLINK("PDF\FOIA-FWS-2020-00724-0002599.pdf","FOIA-FWS-2020-00724-0002599")</f>
        <v>FOIA-FWS-2020-00724-0002599</v>
      </c>
      <c r="B2600" s="3" t="s">
        <v>4476</v>
      </c>
      <c r="C2600" s="3" t="s">
        <v>3</v>
      </c>
      <c r="D2600" s="3" t="s">
        <v>33</v>
      </c>
      <c r="E2600" s="3" t="s">
        <v>4478</v>
      </c>
      <c r="F2600" s="4">
        <v>43788.800694444442</v>
      </c>
      <c r="G2600" s="3" t="s">
        <v>963</v>
      </c>
      <c r="H2600" s="3" t="s">
        <v>4477</v>
      </c>
      <c r="I2600" s="3" t="s">
        <v>7043</v>
      </c>
      <c r="J2600" s="3"/>
      <c r="K2600" s="3"/>
      <c r="L2600" s="5"/>
    </row>
    <row r="2601" spans="1:12" ht="28.8" x14ac:dyDescent="0.55000000000000004">
      <c r="A2601" s="9" t="str">
        <f>HYPERLINK("PDF\FOIA-FWS-2020-00724-0002600.pdf","FOIA-FWS-2020-00724-0002600")</f>
        <v>FOIA-FWS-2020-00724-0002600</v>
      </c>
      <c r="B2601" s="3" t="s">
        <v>4476</v>
      </c>
      <c r="C2601" s="3" t="s">
        <v>234</v>
      </c>
      <c r="D2601" s="3" t="s">
        <v>33</v>
      </c>
      <c r="E2601" s="3" t="s">
        <v>4276</v>
      </c>
      <c r="F2601" s="4">
        <v>43788.800694444442</v>
      </c>
      <c r="G2601" s="3"/>
      <c r="H2601" s="3"/>
      <c r="I2601" s="3" t="s">
        <v>7043</v>
      </c>
      <c r="J2601" s="3"/>
      <c r="K2601" s="3"/>
      <c r="L2601" s="5"/>
    </row>
    <row r="2602" spans="1:12" ht="28.8" x14ac:dyDescent="0.55000000000000004">
      <c r="A2602" s="9" t="str">
        <f>HYPERLINK("PDF\FOIA-FWS-2020-00724-0002601.pdf","FOIA-FWS-2020-00724-0002601")</f>
        <v>FOIA-FWS-2020-00724-0002601</v>
      </c>
      <c r="B2602" s="3" t="s">
        <v>4476</v>
      </c>
      <c r="C2602" s="3" t="s">
        <v>234</v>
      </c>
      <c r="D2602" s="3" t="s">
        <v>33</v>
      </c>
      <c r="E2602" s="3" t="s">
        <v>4479</v>
      </c>
      <c r="F2602" s="4">
        <v>43788.800694444442</v>
      </c>
      <c r="G2602" s="3"/>
      <c r="H2602" s="3"/>
      <c r="I2602" s="3" t="s">
        <v>7043</v>
      </c>
      <c r="J2602" s="3"/>
      <c r="K2602" s="3"/>
      <c r="L2602" s="5"/>
    </row>
    <row r="2603" spans="1:12" ht="28.8" x14ac:dyDescent="0.55000000000000004">
      <c r="A2603" s="9" t="str">
        <f>HYPERLINK("PDF\FOIA-FWS-2020-00724-0002602.pdf","FOIA-FWS-2020-00724-0002602")</f>
        <v>FOIA-FWS-2020-00724-0002602</v>
      </c>
      <c r="B2603" s="3" t="s">
        <v>4480</v>
      </c>
      <c r="C2603" s="3" t="s">
        <v>3</v>
      </c>
      <c r="D2603" s="3" t="s">
        <v>33</v>
      </c>
      <c r="E2603" s="3" t="s">
        <v>4481</v>
      </c>
      <c r="F2603" s="4">
        <v>43788.819444444445</v>
      </c>
      <c r="G2603" s="3" t="s">
        <v>955</v>
      </c>
      <c r="H2603" s="3" t="s">
        <v>1119</v>
      </c>
      <c r="I2603" s="3" t="s">
        <v>7043</v>
      </c>
      <c r="J2603" s="3"/>
      <c r="K2603" s="3"/>
      <c r="L2603" s="5"/>
    </row>
    <row r="2604" spans="1:12" ht="28.8" x14ac:dyDescent="0.55000000000000004">
      <c r="A2604" s="9" t="str">
        <f>HYPERLINK("PDF\FOIA-FWS-2020-00724-0002603.pdf","FOIA-FWS-2020-00724-0002603")</f>
        <v>FOIA-FWS-2020-00724-0002603</v>
      </c>
      <c r="B2604" s="3" t="s">
        <v>4482</v>
      </c>
      <c r="C2604" s="3" t="s">
        <v>3</v>
      </c>
      <c r="D2604" s="3" t="s">
        <v>33</v>
      </c>
      <c r="E2604" s="3" t="s">
        <v>4483</v>
      </c>
      <c r="F2604" s="4">
        <v>43789</v>
      </c>
      <c r="G2604" s="3"/>
      <c r="H2604" s="3"/>
      <c r="I2604" s="3" t="s">
        <v>7043</v>
      </c>
      <c r="J2604" s="3"/>
      <c r="K2604" s="3"/>
      <c r="L2604" s="5"/>
    </row>
    <row r="2605" spans="1:12" ht="28.8" x14ac:dyDescent="0.55000000000000004">
      <c r="A2605" s="9" t="str">
        <f>HYPERLINK("PDF\FOIA-FWS-2020-00724-0002604.pdf","FOIA-FWS-2020-00724-0002604")</f>
        <v>FOIA-FWS-2020-00724-0002604</v>
      </c>
      <c r="B2605" s="3" t="s">
        <v>4484</v>
      </c>
      <c r="C2605" s="3" t="s">
        <v>3</v>
      </c>
      <c r="D2605" s="3" t="s">
        <v>33</v>
      </c>
      <c r="E2605" s="3" t="s">
        <v>4486</v>
      </c>
      <c r="F2605" s="4">
        <v>43789.380555555559</v>
      </c>
      <c r="G2605" s="3" t="s">
        <v>963</v>
      </c>
      <c r="H2605" s="3" t="s">
        <v>4485</v>
      </c>
      <c r="I2605" s="3" t="s">
        <v>7043</v>
      </c>
      <c r="J2605" s="3"/>
      <c r="K2605" s="3"/>
      <c r="L2605" s="5"/>
    </row>
    <row r="2606" spans="1:12" ht="28.8" x14ac:dyDescent="0.55000000000000004">
      <c r="A2606" s="9" t="str">
        <f>HYPERLINK("PDF\FOIA-FWS-2020-00724-0002605.pdf","FOIA-FWS-2020-00724-0002605")</f>
        <v>FOIA-FWS-2020-00724-0002605</v>
      </c>
      <c r="B2606" s="3" t="s">
        <v>4487</v>
      </c>
      <c r="C2606" s="3" t="s">
        <v>3</v>
      </c>
      <c r="D2606" s="3" t="s">
        <v>33</v>
      </c>
      <c r="E2606" s="3" t="s">
        <v>4488</v>
      </c>
      <c r="F2606" s="4">
        <v>43789.46875</v>
      </c>
      <c r="G2606" s="3" t="s">
        <v>955</v>
      </c>
      <c r="H2606" s="3" t="s">
        <v>1551</v>
      </c>
      <c r="I2606" s="3" t="s">
        <v>7043</v>
      </c>
      <c r="J2606" s="3"/>
      <c r="K2606" s="3"/>
      <c r="L2606" s="5"/>
    </row>
    <row r="2607" spans="1:12" ht="28.8" x14ac:dyDescent="0.55000000000000004">
      <c r="A2607" s="9" t="str">
        <f>HYPERLINK("PDF\FOIA-FWS-2020-00724-0002606.pdf","FOIA-FWS-2020-00724-0002606")</f>
        <v>FOIA-FWS-2020-00724-0002606</v>
      </c>
      <c r="B2607" s="3" t="s">
        <v>4489</v>
      </c>
      <c r="C2607" s="3" t="s">
        <v>3</v>
      </c>
      <c r="D2607" s="3" t="s">
        <v>33</v>
      </c>
      <c r="E2607" s="3" t="s">
        <v>4488</v>
      </c>
      <c r="F2607" s="4">
        <v>43789.486111111109</v>
      </c>
      <c r="G2607" s="3" t="s">
        <v>955</v>
      </c>
      <c r="H2607" s="3" t="s">
        <v>1551</v>
      </c>
      <c r="I2607" s="3" t="s">
        <v>7043</v>
      </c>
      <c r="J2607" s="3"/>
      <c r="K2607" s="3"/>
      <c r="L2607" s="5"/>
    </row>
    <row r="2608" spans="1:12" ht="100.8" x14ac:dyDescent="0.55000000000000004">
      <c r="A2608" s="9" t="str">
        <f>HYPERLINK("PDF\FOIA-FWS-2020-00724-0002607.pdf","FOIA-FWS-2020-00724-0002607")</f>
        <v>FOIA-FWS-2020-00724-0002607</v>
      </c>
      <c r="B2608" s="3" t="s">
        <v>4490</v>
      </c>
      <c r="C2608" s="3" t="s">
        <v>3</v>
      </c>
      <c r="D2608" s="3" t="s">
        <v>33</v>
      </c>
      <c r="E2608" s="3" t="s">
        <v>4493</v>
      </c>
      <c r="F2608" s="4">
        <v>43789.617361111108</v>
      </c>
      <c r="G2608" s="3" t="s">
        <v>4491</v>
      </c>
      <c r="H2608" s="3" t="s">
        <v>4492</v>
      </c>
      <c r="I2608" s="3" t="s">
        <v>7043</v>
      </c>
      <c r="J2608" s="3"/>
      <c r="K2608" s="3"/>
      <c r="L2608" s="5"/>
    </row>
    <row r="2609" spans="1:12" ht="28.8" x14ac:dyDescent="0.55000000000000004">
      <c r="A2609" s="9" t="str">
        <f>HYPERLINK("PDF\FOIA-FWS-2020-00724-0002608.pdf","FOIA-FWS-2020-00724-0002608")</f>
        <v>FOIA-FWS-2020-00724-0002608</v>
      </c>
      <c r="B2609" s="3" t="s">
        <v>4490</v>
      </c>
      <c r="C2609" s="3" t="s">
        <v>234</v>
      </c>
      <c r="D2609" s="3" t="s">
        <v>4</v>
      </c>
      <c r="E2609" s="3" t="s">
        <v>4494</v>
      </c>
      <c r="F2609" s="4">
        <v>43789.617361111108</v>
      </c>
      <c r="G2609" s="3"/>
      <c r="H2609" s="3"/>
      <c r="I2609" s="3" t="s">
        <v>7043</v>
      </c>
      <c r="J2609" s="3"/>
      <c r="K2609" s="3"/>
      <c r="L2609" s="5"/>
    </row>
    <row r="2610" spans="1:12" ht="28.8" x14ac:dyDescent="0.55000000000000004">
      <c r="A2610" s="9" t="str">
        <f>HYPERLINK("PDF\FOIA-FWS-2020-00724-0002609.pdf","FOIA-FWS-2020-00724-0002609")</f>
        <v>FOIA-FWS-2020-00724-0002609</v>
      </c>
      <c r="B2610" s="3" t="s">
        <v>4495</v>
      </c>
      <c r="C2610" s="3" t="s">
        <v>3</v>
      </c>
      <c r="D2610" s="3" t="s">
        <v>38</v>
      </c>
      <c r="E2610" s="3" t="s">
        <v>4496</v>
      </c>
      <c r="F2610" s="4">
        <v>43790</v>
      </c>
      <c r="G2610" s="3"/>
      <c r="H2610" s="3"/>
      <c r="I2610" s="3" t="s">
        <v>7043</v>
      </c>
      <c r="J2610" s="3"/>
      <c r="K2610" s="3"/>
      <c r="L2610" s="5"/>
    </row>
    <row r="2611" spans="1:12" ht="28.8" x14ac:dyDescent="0.55000000000000004">
      <c r="A2611" s="9" t="str">
        <f>HYPERLINK("PDF\FOIA-FWS-2020-00724-0002610.pdf","FOIA-FWS-2020-00724-0002610")</f>
        <v>FOIA-FWS-2020-00724-0002610</v>
      </c>
      <c r="B2611" s="3" t="s">
        <v>4497</v>
      </c>
      <c r="C2611" s="3" t="s">
        <v>3</v>
      </c>
      <c r="D2611" s="3" t="s">
        <v>33</v>
      </c>
      <c r="E2611" s="3" t="s">
        <v>4498</v>
      </c>
      <c r="F2611" s="4">
        <v>43790.620833333334</v>
      </c>
      <c r="G2611" s="3" t="s">
        <v>2965</v>
      </c>
      <c r="H2611" s="3" t="s">
        <v>955</v>
      </c>
      <c r="I2611" s="3" t="s">
        <v>7043</v>
      </c>
      <c r="J2611" s="3"/>
      <c r="K2611" s="3"/>
      <c r="L2611" s="5"/>
    </row>
    <row r="2612" spans="1:12" ht="43.2" x14ac:dyDescent="0.55000000000000004">
      <c r="A2612" s="9" t="str">
        <f>HYPERLINK("PDF\FOIA-FWS-2020-00724-0002611.pdf","FOIA-FWS-2020-00724-0002611")</f>
        <v>FOIA-FWS-2020-00724-0002611</v>
      </c>
      <c r="B2612" s="3" t="s">
        <v>4499</v>
      </c>
      <c r="C2612" s="3" t="s">
        <v>3</v>
      </c>
      <c r="D2612" s="3" t="s">
        <v>33</v>
      </c>
      <c r="E2612" s="3" t="s">
        <v>4501</v>
      </c>
      <c r="F2612" s="4">
        <v>43790.737500000003</v>
      </c>
      <c r="G2612" s="3" t="s">
        <v>1250</v>
      </c>
      <c r="H2612" s="3" t="s">
        <v>4500</v>
      </c>
      <c r="I2612" s="3" t="s">
        <v>7043</v>
      </c>
      <c r="J2612" s="3"/>
      <c r="K2612" s="3"/>
      <c r="L2612" s="5"/>
    </row>
    <row r="2613" spans="1:12" ht="28.8" x14ac:dyDescent="0.55000000000000004">
      <c r="A2613" s="9" t="str">
        <f>HYPERLINK("PDF\FOIA-FWS-2020-00724-0002612.pdf","FOIA-FWS-2020-00724-0002612")</f>
        <v>FOIA-FWS-2020-00724-0002612</v>
      </c>
      <c r="B2613" s="3" t="s">
        <v>4499</v>
      </c>
      <c r="C2613" s="3" t="s">
        <v>234</v>
      </c>
      <c r="D2613" s="3" t="s">
        <v>4</v>
      </c>
      <c r="E2613" s="3" t="s">
        <v>4502</v>
      </c>
      <c r="F2613" s="4">
        <v>43790.737500000003</v>
      </c>
      <c r="G2613" s="3"/>
      <c r="H2613" s="3"/>
      <c r="I2613" s="3" t="s">
        <v>7043</v>
      </c>
      <c r="J2613" s="3"/>
      <c r="K2613" s="3"/>
      <c r="L2613" s="5"/>
    </row>
    <row r="2614" spans="1:12" ht="28.8" x14ac:dyDescent="0.55000000000000004">
      <c r="A2614" s="9" t="str">
        <f>HYPERLINK("PDF\FOIA-FWS-2020-00724-0002613.pdf","FOIA-FWS-2020-00724-0002613")</f>
        <v>FOIA-FWS-2020-00724-0002613</v>
      </c>
      <c r="B2614" s="3" t="s">
        <v>4499</v>
      </c>
      <c r="C2614" s="3" t="s">
        <v>234</v>
      </c>
      <c r="D2614" s="3" t="s">
        <v>4</v>
      </c>
      <c r="E2614" s="3" t="s">
        <v>4503</v>
      </c>
      <c r="F2614" s="4">
        <v>43790.737500000003</v>
      </c>
      <c r="G2614" s="3"/>
      <c r="H2614" s="3"/>
      <c r="I2614" s="3" t="s">
        <v>7043</v>
      </c>
      <c r="J2614" s="3"/>
      <c r="K2614" s="3"/>
      <c r="L2614" s="5"/>
    </row>
    <row r="2615" spans="1:12" ht="28.8" x14ac:dyDescent="0.55000000000000004">
      <c r="A2615" s="9" t="str">
        <f>HYPERLINK("PDF\FOIA-FWS-2020-00724-0002614.pdf","FOIA-FWS-2020-00724-0002614")</f>
        <v>FOIA-FWS-2020-00724-0002614</v>
      </c>
      <c r="B2615" s="3" t="s">
        <v>4499</v>
      </c>
      <c r="C2615" s="3" t="s">
        <v>234</v>
      </c>
      <c r="D2615" s="3" t="s">
        <v>4</v>
      </c>
      <c r="E2615" s="3" t="s">
        <v>4504</v>
      </c>
      <c r="F2615" s="4">
        <v>43790.737500000003</v>
      </c>
      <c r="G2615" s="3"/>
      <c r="H2615" s="3"/>
      <c r="I2615" s="3" t="s">
        <v>7043</v>
      </c>
      <c r="J2615" s="3"/>
      <c r="K2615" s="3"/>
      <c r="L2615" s="5"/>
    </row>
    <row r="2616" spans="1:12" ht="28.8" x14ac:dyDescent="0.55000000000000004">
      <c r="A2616" s="9" t="str">
        <f>HYPERLINK("PDF\FOIA-FWS-2020-00724-0002615.pdf","FOIA-FWS-2020-00724-0002615")</f>
        <v>FOIA-FWS-2020-00724-0002615</v>
      </c>
      <c r="B2616" s="3" t="s">
        <v>4505</v>
      </c>
      <c r="C2616" s="3" t="s">
        <v>3</v>
      </c>
      <c r="D2616" s="3" t="s">
        <v>33</v>
      </c>
      <c r="E2616" s="3" t="s">
        <v>4507</v>
      </c>
      <c r="F2616" s="4">
        <v>43790.754166666666</v>
      </c>
      <c r="G2616" s="3" t="s">
        <v>4506</v>
      </c>
      <c r="H2616" s="3" t="s">
        <v>861</v>
      </c>
      <c r="I2616" s="3" t="s">
        <v>7043</v>
      </c>
      <c r="J2616" s="3"/>
      <c r="K2616" s="3"/>
      <c r="L2616" s="5"/>
    </row>
    <row r="2617" spans="1:12" ht="28.8" x14ac:dyDescent="0.55000000000000004">
      <c r="A2617" s="9" t="str">
        <f>HYPERLINK("PDF\FOIA-FWS-2020-00724-0002616.pdf","FOIA-FWS-2020-00724-0002616")</f>
        <v>FOIA-FWS-2020-00724-0002616</v>
      </c>
      <c r="B2617" s="3" t="s">
        <v>4505</v>
      </c>
      <c r="C2617" s="3" t="s">
        <v>234</v>
      </c>
      <c r="D2617" s="3" t="s">
        <v>33</v>
      </c>
      <c r="E2617" s="3" t="s">
        <v>4508</v>
      </c>
      <c r="F2617" s="4">
        <v>43790.754166666666</v>
      </c>
      <c r="G2617" s="3"/>
      <c r="H2617" s="3"/>
      <c r="I2617" s="3" t="s">
        <v>7043</v>
      </c>
      <c r="J2617" s="3"/>
      <c r="K2617" s="3"/>
      <c r="L2617" s="5"/>
    </row>
    <row r="2618" spans="1:12" ht="28.8" x14ac:dyDescent="0.55000000000000004">
      <c r="A2618" s="9" t="str">
        <f>HYPERLINK("PDF\FOIA-FWS-2020-00724-0002617.pdf","FOIA-FWS-2020-00724-0002617")</f>
        <v>FOIA-FWS-2020-00724-0002617</v>
      </c>
      <c r="B2618" s="3" t="s">
        <v>4509</v>
      </c>
      <c r="C2618" s="3" t="s">
        <v>3</v>
      </c>
      <c r="D2618" s="3" t="s">
        <v>33</v>
      </c>
      <c r="E2618" s="3" t="s">
        <v>4511</v>
      </c>
      <c r="F2618" s="4">
        <v>43790.788194444445</v>
      </c>
      <c r="G2618" s="3" t="s">
        <v>4510</v>
      </c>
      <c r="H2618" s="3" t="s">
        <v>2179</v>
      </c>
      <c r="I2618" s="3" t="s">
        <v>7043</v>
      </c>
      <c r="J2618" s="3"/>
      <c r="K2618" s="3"/>
      <c r="L2618" s="5"/>
    </row>
    <row r="2619" spans="1:12" ht="28.8" x14ac:dyDescent="0.55000000000000004">
      <c r="A2619" s="9" t="str">
        <f>HYPERLINK("PDF\FOIA-FWS-2020-00724-0002618.pdf","FOIA-FWS-2020-00724-0002618")</f>
        <v>FOIA-FWS-2020-00724-0002618</v>
      </c>
      <c r="B2619" s="3" t="s">
        <v>4509</v>
      </c>
      <c r="C2619" s="3" t="s">
        <v>234</v>
      </c>
      <c r="D2619" s="3" t="s">
        <v>33</v>
      </c>
      <c r="E2619" s="3" t="s">
        <v>4512</v>
      </c>
      <c r="F2619" s="4">
        <v>43790.788194444445</v>
      </c>
      <c r="G2619" s="3"/>
      <c r="H2619" s="3"/>
      <c r="I2619" s="3" t="s">
        <v>7043</v>
      </c>
      <c r="J2619" s="3"/>
      <c r="K2619" s="3"/>
      <c r="L2619" s="5"/>
    </row>
    <row r="2620" spans="1:12" ht="28.8" x14ac:dyDescent="0.55000000000000004">
      <c r="A2620" s="9" t="str">
        <f>HYPERLINK("PDF\FOIA-FWS-2020-00724-0002619.pdf","FOIA-FWS-2020-00724-0002619")</f>
        <v>FOIA-FWS-2020-00724-0002619</v>
      </c>
      <c r="B2620" s="3" t="s">
        <v>4513</v>
      </c>
      <c r="C2620" s="3" t="s">
        <v>3</v>
      </c>
      <c r="D2620" s="3" t="s">
        <v>4</v>
      </c>
      <c r="E2620" s="3" t="s">
        <v>4514</v>
      </c>
      <c r="F2620" s="4">
        <v>43791</v>
      </c>
      <c r="G2620" s="3"/>
      <c r="H2620" s="3"/>
      <c r="I2620" s="3" t="s">
        <v>7043</v>
      </c>
      <c r="J2620" s="3"/>
      <c r="K2620" s="3"/>
      <c r="L2620" s="5"/>
    </row>
    <row r="2621" spans="1:12" ht="28.8" x14ac:dyDescent="0.55000000000000004">
      <c r="A2621" s="9" t="str">
        <f>HYPERLINK("PDF\FOIA-FWS-2020-00724-0002620.pdf","FOIA-FWS-2020-00724-0002620")</f>
        <v>FOIA-FWS-2020-00724-0002620</v>
      </c>
      <c r="B2621" s="3" t="s">
        <v>4515</v>
      </c>
      <c r="C2621" s="3" t="s">
        <v>3</v>
      </c>
      <c r="D2621" s="3" t="s">
        <v>33</v>
      </c>
      <c r="E2621" s="3" t="s">
        <v>4518</v>
      </c>
      <c r="F2621" s="4">
        <v>43791.632638888892</v>
      </c>
      <c r="G2621" s="3" t="s">
        <v>4516</v>
      </c>
      <c r="H2621" s="3" t="s">
        <v>4517</v>
      </c>
      <c r="I2621" s="3" t="s">
        <v>7043</v>
      </c>
      <c r="J2621" s="3"/>
      <c r="K2621" s="3"/>
      <c r="L2621" s="5"/>
    </row>
    <row r="2622" spans="1:12" ht="28.8" x14ac:dyDescent="0.55000000000000004">
      <c r="A2622" s="9" t="str">
        <f>HYPERLINK("PDF\FOIA-FWS-2020-00724-0002621.pdf","FOIA-FWS-2020-00724-0002621")</f>
        <v>FOIA-FWS-2020-00724-0002621</v>
      </c>
      <c r="B2622" s="3" t="s">
        <v>4515</v>
      </c>
      <c r="C2622" s="3" t="s">
        <v>234</v>
      </c>
      <c r="D2622" s="3" t="s">
        <v>33</v>
      </c>
      <c r="E2622" s="3" t="s">
        <v>4519</v>
      </c>
      <c r="F2622" s="4">
        <v>43791.632638888892</v>
      </c>
      <c r="G2622" s="3"/>
      <c r="H2622" s="3"/>
      <c r="I2622" s="3" t="s">
        <v>7043</v>
      </c>
      <c r="J2622" s="3"/>
      <c r="K2622" s="3"/>
      <c r="L2622" s="5"/>
    </row>
    <row r="2623" spans="1:12" ht="28.8" x14ac:dyDescent="0.55000000000000004">
      <c r="A2623" s="9" t="str">
        <f>HYPERLINK("PDF\FOIA-FWS-2020-00724-0002622.pdf","FOIA-FWS-2020-00724-0002622")</f>
        <v>FOIA-FWS-2020-00724-0002622</v>
      </c>
      <c r="B2623" s="3" t="s">
        <v>4520</v>
      </c>
      <c r="C2623" s="3" t="s">
        <v>3</v>
      </c>
      <c r="D2623" s="3" t="s">
        <v>33</v>
      </c>
      <c r="E2623" s="3" t="s">
        <v>4521</v>
      </c>
      <c r="F2623" s="4">
        <v>43791.758333333331</v>
      </c>
      <c r="G2623" s="3" t="s">
        <v>1874</v>
      </c>
      <c r="H2623" s="3" t="s">
        <v>955</v>
      </c>
      <c r="I2623" s="3" t="s">
        <v>7043</v>
      </c>
      <c r="J2623" s="3"/>
      <c r="K2623" s="3"/>
      <c r="L2623" s="5"/>
    </row>
    <row r="2624" spans="1:12" ht="28.8" x14ac:dyDescent="0.55000000000000004">
      <c r="A2624" s="9" t="str">
        <f>HYPERLINK("PDF\FOIA-FWS-2020-00724-0002623.pdf","FOIA-FWS-2020-00724-0002623")</f>
        <v>FOIA-FWS-2020-00724-0002623</v>
      </c>
      <c r="B2624" s="3" t="s">
        <v>4522</v>
      </c>
      <c r="C2624" s="3" t="s">
        <v>3</v>
      </c>
      <c r="D2624" s="3" t="s">
        <v>33</v>
      </c>
      <c r="E2624" s="3" t="s">
        <v>4523</v>
      </c>
      <c r="F2624" s="4">
        <v>43791.761111111111</v>
      </c>
      <c r="G2624" s="3" t="s">
        <v>955</v>
      </c>
      <c r="H2624" s="3" t="s">
        <v>1119</v>
      </c>
      <c r="I2624" s="3" t="s">
        <v>7043</v>
      </c>
      <c r="J2624" s="3"/>
      <c r="K2624" s="3"/>
      <c r="L2624" s="5"/>
    </row>
    <row r="2625" spans="1:12" ht="28.8" x14ac:dyDescent="0.55000000000000004">
      <c r="A2625" s="9" t="str">
        <f>HYPERLINK("PDF\FOIA-FWS-2020-00724-0002624.pdf","FOIA-FWS-2020-00724-0002624")</f>
        <v>FOIA-FWS-2020-00724-0002624</v>
      </c>
      <c r="B2625" s="3" t="s">
        <v>4522</v>
      </c>
      <c r="C2625" s="3" t="s">
        <v>234</v>
      </c>
      <c r="D2625" s="3" t="s">
        <v>4</v>
      </c>
      <c r="E2625" s="3" t="s">
        <v>1318</v>
      </c>
      <c r="F2625" s="4">
        <v>43791.761111111111</v>
      </c>
      <c r="G2625" s="3"/>
      <c r="H2625" s="3"/>
      <c r="I2625" s="3" t="s">
        <v>7043</v>
      </c>
      <c r="J2625" s="3"/>
      <c r="K2625" s="3"/>
      <c r="L2625" s="5"/>
    </row>
    <row r="2626" spans="1:12" ht="28.8" x14ac:dyDescent="0.55000000000000004">
      <c r="A2626" s="9" t="str">
        <f>HYPERLINK("PDF\FOIA-FWS-2020-00724-0002625.pdf","FOIA-FWS-2020-00724-0002625")</f>
        <v>FOIA-FWS-2020-00724-0002625</v>
      </c>
      <c r="B2626" s="3" t="s">
        <v>4522</v>
      </c>
      <c r="C2626" s="3" t="s">
        <v>234</v>
      </c>
      <c r="D2626" s="3" t="s">
        <v>4</v>
      </c>
      <c r="E2626" s="3" t="s">
        <v>587</v>
      </c>
      <c r="F2626" s="4">
        <v>43791.761111111111</v>
      </c>
      <c r="G2626" s="3"/>
      <c r="H2626" s="3"/>
      <c r="I2626" s="3" t="s">
        <v>7043</v>
      </c>
      <c r="J2626" s="3"/>
      <c r="K2626" s="3"/>
      <c r="L2626" s="5"/>
    </row>
    <row r="2627" spans="1:12" ht="28.8" x14ac:dyDescent="0.55000000000000004">
      <c r="A2627" s="9" t="str">
        <f>HYPERLINK("PDF\FOIA-FWS-2020-00724-0002626.pdf","FOIA-FWS-2020-00724-0002626")</f>
        <v>FOIA-FWS-2020-00724-0002626</v>
      </c>
      <c r="B2627" s="3" t="s">
        <v>4522</v>
      </c>
      <c r="C2627" s="3" t="s">
        <v>234</v>
      </c>
      <c r="D2627" s="3" t="s">
        <v>33</v>
      </c>
      <c r="E2627" s="3" t="s">
        <v>3028</v>
      </c>
      <c r="F2627" s="4">
        <v>43791.761111111111</v>
      </c>
      <c r="G2627" s="3"/>
      <c r="H2627" s="3"/>
      <c r="I2627" s="3" t="s">
        <v>7043</v>
      </c>
      <c r="J2627" s="3"/>
      <c r="K2627" s="3"/>
      <c r="L2627" s="5"/>
    </row>
    <row r="2628" spans="1:12" ht="28.8" x14ac:dyDescent="0.55000000000000004">
      <c r="A2628" s="9" t="str">
        <f>HYPERLINK("PDF\FOIA-FWS-2020-00724-0002627.pdf","FOIA-FWS-2020-00724-0002627")</f>
        <v>FOIA-FWS-2020-00724-0002627</v>
      </c>
      <c r="B2628" s="3" t="s">
        <v>4524</v>
      </c>
      <c r="C2628" s="3" t="s">
        <v>3</v>
      </c>
      <c r="D2628" s="3" t="s">
        <v>38</v>
      </c>
      <c r="E2628" s="3" t="s">
        <v>4525</v>
      </c>
      <c r="F2628" s="4">
        <v>43793</v>
      </c>
      <c r="G2628" s="3"/>
      <c r="H2628" s="3"/>
      <c r="I2628" s="3" t="s">
        <v>7043</v>
      </c>
      <c r="J2628" s="3"/>
      <c r="K2628" s="3"/>
      <c r="L2628" s="5"/>
    </row>
    <row r="2629" spans="1:12" ht="28.8" x14ac:dyDescent="0.55000000000000004">
      <c r="A2629" s="9" t="str">
        <f>HYPERLINK("PDF\FOIA-FWS-2020-00724-0002628.pdf","FOIA-FWS-2020-00724-0002628")</f>
        <v>FOIA-FWS-2020-00724-0002628</v>
      </c>
      <c r="B2629" s="3" t="s">
        <v>4526</v>
      </c>
      <c r="C2629" s="3" t="s">
        <v>3</v>
      </c>
      <c r="D2629" s="3" t="s">
        <v>38</v>
      </c>
      <c r="E2629" s="3" t="s">
        <v>4527</v>
      </c>
      <c r="F2629" s="4">
        <v>43794</v>
      </c>
      <c r="G2629" s="3"/>
      <c r="H2629" s="3"/>
      <c r="I2629" s="3" t="s">
        <v>7043</v>
      </c>
      <c r="J2629" s="3"/>
      <c r="K2629" s="3"/>
      <c r="L2629" s="5"/>
    </row>
    <row r="2630" spans="1:12" ht="28.8" x14ac:dyDescent="0.55000000000000004">
      <c r="A2630" s="9" t="str">
        <f>HYPERLINK("PDF\FOIA-FWS-2020-00724-0002629.pdf","FOIA-FWS-2020-00724-0002629")</f>
        <v>FOIA-FWS-2020-00724-0002629</v>
      </c>
      <c r="B2630" s="3" t="s">
        <v>4528</v>
      </c>
      <c r="C2630" s="3" t="s">
        <v>3</v>
      </c>
      <c r="D2630" s="3" t="s">
        <v>33</v>
      </c>
      <c r="E2630" s="3" t="s">
        <v>4529</v>
      </c>
      <c r="F2630" s="4">
        <v>43794.724999999999</v>
      </c>
      <c r="G2630" s="3" t="s">
        <v>912</v>
      </c>
      <c r="H2630" s="3" t="s">
        <v>2091</v>
      </c>
      <c r="I2630" s="3" t="s">
        <v>7043</v>
      </c>
      <c r="J2630" s="3"/>
      <c r="K2630" s="3"/>
      <c r="L2630" s="5"/>
    </row>
    <row r="2631" spans="1:12" ht="28.8" x14ac:dyDescent="0.55000000000000004">
      <c r="A2631" s="9" t="str">
        <f>HYPERLINK("PDF\FOIA-FWS-2020-00724-0002630.pdf","FOIA-FWS-2020-00724-0002630")</f>
        <v>FOIA-FWS-2020-00724-0002630</v>
      </c>
      <c r="B2631" s="3" t="s">
        <v>4528</v>
      </c>
      <c r="C2631" s="3" t="s">
        <v>234</v>
      </c>
      <c r="D2631" s="3" t="s">
        <v>33</v>
      </c>
      <c r="E2631" s="3" t="s">
        <v>4530</v>
      </c>
      <c r="F2631" s="4">
        <v>43794.724999999999</v>
      </c>
      <c r="G2631" s="3"/>
      <c r="H2631" s="3"/>
      <c r="I2631" s="3" t="s">
        <v>7043</v>
      </c>
      <c r="J2631" s="3"/>
      <c r="K2631" s="3"/>
      <c r="L2631" s="5"/>
    </row>
    <row r="2632" spans="1:12" ht="28.8" x14ac:dyDescent="0.55000000000000004">
      <c r="A2632" s="9" t="str">
        <f>HYPERLINK("PDF\FOIA-FWS-2020-00724-0002631.pdf","FOIA-FWS-2020-00724-0002631")</f>
        <v>FOIA-FWS-2020-00724-0002631</v>
      </c>
      <c r="B2632" s="3" t="s">
        <v>4531</v>
      </c>
      <c r="C2632" s="3" t="s">
        <v>3</v>
      </c>
      <c r="D2632" s="3" t="s">
        <v>38</v>
      </c>
      <c r="E2632" s="3" t="s">
        <v>4532</v>
      </c>
      <c r="F2632" s="4">
        <v>43795</v>
      </c>
      <c r="G2632" s="3"/>
      <c r="H2632" s="3"/>
      <c r="I2632" s="3" t="s">
        <v>7043</v>
      </c>
      <c r="J2632" s="3"/>
      <c r="K2632" s="3"/>
      <c r="L2632" s="5"/>
    </row>
    <row r="2633" spans="1:12" ht="28.8" x14ac:dyDescent="0.55000000000000004">
      <c r="A2633" s="9" t="str">
        <f>HYPERLINK("PDF\FOIA-FWS-2020-00724-0002632.pdf","FOIA-FWS-2020-00724-0002632")</f>
        <v>FOIA-FWS-2020-00724-0002632</v>
      </c>
      <c r="B2633" s="3" t="s">
        <v>4533</v>
      </c>
      <c r="C2633" s="3" t="s">
        <v>3</v>
      </c>
      <c r="D2633" s="3" t="s">
        <v>38</v>
      </c>
      <c r="E2633" s="3" t="s">
        <v>4534</v>
      </c>
      <c r="F2633" s="4">
        <v>43795</v>
      </c>
      <c r="G2633" s="3"/>
      <c r="H2633" s="3"/>
      <c r="I2633" s="3" t="s">
        <v>7043</v>
      </c>
      <c r="J2633" s="3"/>
      <c r="K2633" s="3"/>
      <c r="L2633" s="5"/>
    </row>
    <row r="2634" spans="1:12" ht="28.8" x14ac:dyDescent="0.55000000000000004">
      <c r="A2634" s="9" t="str">
        <f>HYPERLINK("PDF\FOIA-FWS-2020-00724-0002633.pdf","FOIA-FWS-2020-00724-0002633")</f>
        <v>FOIA-FWS-2020-00724-0002633</v>
      </c>
      <c r="B2634" s="3" t="s">
        <v>4535</v>
      </c>
      <c r="C2634" s="3" t="s">
        <v>3</v>
      </c>
      <c r="D2634" s="3" t="s">
        <v>38</v>
      </c>
      <c r="E2634" s="3" t="s">
        <v>4536</v>
      </c>
      <c r="F2634" s="4">
        <v>43795</v>
      </c>
      <c r="G2634" s="3"/>
      <c r="H2634" s="3"/>
      <c r="I2634" s="3" t="s">
        <v>7043</v>
      </c>
      <c r="J2634" s="3"/>
      <c r="K2634" s="3"/>
      <c r="L2634" s="5"/>
    </row>
    <row r="2635" spans="1:12" ht="28.8" x14ac:dyDescent="0.55000000000000004">
      <c r="A2635" s="9" t="str">
        <f>HYPERLINK("PDF\FOIA-FWS-2020-00724-0002634.pdf","FOIA-FWS-2020-00724-0002634")</f>
        <v>FOIA-FWS-2020-00724-0002634</v>
      </c>
      <c r="B2635" s="3" t="s">
        <v>4537</v>
      </c>
      <c r="C2635" s="3" t="s">
        <v>3</v>
      </c>
      <c r="D2635" s="3" t="s">
        <v>38</v>
      </c>
      <c r="E2635" s="3" t="s">
        <v>4538</v>
      </c>
      <c r="F2635" s="4">
        <v>43795</v>
      </c>
      <c r="G2635" s="3"/>
      <c r="H2635" s="3"/>
      <c r="I2635" s="3" t="s">
        <v>7043</v>
      </c>
      <c r="J2635" s="3"/>
      <c r="K2635" s="3"/>
      <c r="L2635" s="5"/>
    </row>
    <row r="2636" spans="1:12" ht="28.8" x14ac:dyDescent="0.55000000000000004">
      <c r="A2636" s="9" t="str">
        <f>HYPERLINK("PDF\FOIA-FWS-2020-00724-0002635.pdf","FOIA-FWS-2020-00724-0002635")</f>
        <v>FOIA-FWS-2020-00724-0002635</v>
      </c>
      <c r="B2636" s="3" t="s">
        <v>4539</v>
      </c>
      <c r="C2636" s="3" t="s">
        <v>3</v>
      </c>
      <c r="D2636" s="3" t="s">
        <v>38</v>
      </c>
      <c r="E2636" s="3" t="s">
        <v>4540</v>
      </c>
      <c r="F2636" s="4">
        <v>43795</v>
      </c>
      <c r="G2636" s="3"/>
      <c r="H2636" s="3"/>
      <c r="I2636" s="3" t="s">
        <v>7043</v>
      </c>
      <c r="J2636" s="3"/>
      <c r="K2636" s="3"/>
      <c r="L2636" s="5"/>
    </row>
    <row r="2637" spans="1:12" ht="28.8" x14ac:dyDescent="0.55000000000000004">
      <c r="A2637" s="9" t="str">
        <f>HYPERLINK("PDF\FOIA-FWS-2020-00724-0002636.pdf","FOIA-FWS-2020-00724-0002636")</f>
        <v>FOIA-FWS-2020-00724-0002636</v>
      </c>
      <c r="B2637" s="3" t="s">
        <v>4541</v>
      </c>
      <c r="C2637" s="3" t="s">
        <v>3</v>
      </c>
      <c r="D2637" s="3" t="s">
        <v>38</v>
      </c>
      <c r="E2637" s="3" t="s">
        <v>4542</v>
      </c>
      <c r="F2637" s="4">
        <v>43795</v>
      </c>
      <c r="G2637" s="3"/>
      <c r="H2637" s="3"/>
      <c r="I2637" s="3" t="s">
        <v>7043</v>
      </c>
      <c r="J2637" s="3"/>
      <c r="K2637" s="3"/>
      <c r="L2637" s="5"/>
    </row>
    <row r="2638" spans="1:12" ht="28.8" x14ac:dyDescent="0.55000000000000004">
      <c r="A2638" s="9" t="str">
        <f>HYPERLINK("PDF\FOIA-FWS-2020-00724-0002637.pdf","FOIA-FWS-2020-00724-0002637")</f>
        <v>FOIA-FWS-2020-00724-0002637</v>
      </c>
      <c r="B2638" s="3" t="s">
        <v>4543</v>
      </c>
      <c r="C2638" s="3" t="s">
        <v>3</v>
      </c>
      <c r="D2638" s="3" t="s">
        <v>33</v>
      </c>
      <c r="E2638" s="3" t="s">
        <v>4545</v>
      </c>
      <c r="F2638" s="4">
        <v>43795.432638888888</v>
      </c>
      <c r="G2638" s="3" t="s">
        <v>912</v>
      </c>
      <c r="H2638" s="3" t="s">
        <v>4544</v>
      </c>
      <c r="I2638" s="3" t="s">
        <v>7043</v>
      </c>
      <c r="J2638" s="3"/>
      <c r="K2638" s="3"/>
      <c r="L2638" s="5"/>
    </row>
    <row r="2639" spans="1:12" ht="28.8" x14ac:dyDescent="0.55000000000000004">
      <c r="A2639" s="9" t="str">
        <f>HYPERLINK("PDF\FOIA-FWS-2020-00724-0002638.pdf","FOIA-FWS-2020-00724-0002638")</f>
        <v>FOIA-FWS-2020-00724-0002638</v>
      </c>
      <c r="B2639" s="3" t="s">
        <v>4543</v>
      </c>
      <c r="C2639" s="3" t="s">
        <v>234</v>
      </c>
      <c r="D2639" s="3" t="s">
        <v>33</v>
      </c>
      <c r="E2639" s="3" t="s">
        <v>4546</v>
      </c>
      <c r="F2639" s="4">
        <v>43795.432638888888</v>
      </c>
      <c r="G2639" s="3"/>
      <c r="H2639" s="3"/>
      <c r="I2639" s="3" t="s">
        <v>7043</v>
      </c>
      <c r="J2639" s="3"/>
      <c r="K2639" s="3"/>
      <c r="L2639" s="5"/>
    </row>
    <row r="2640" spans="1:12" ht="28.8" x14ac:dyDescent="0.55000000000000004">
      <c r="A2640" s="9" t="str">
        <f>HYPERLINK("PDF\FOIA-FWS-2020-00724-0002639.pdf","FOIA-FWS-2020-00724-0002639")</f>
        <v>FOIA-FWS-2020-00724-0002639</v>
      </c>
      <c r="B2640" s="3" t="s">
        <v>4547</v>
      </c>
      <c r="C2640" s="3" t="s">
        <v>3</v>
      </c>
      <c r="D2640" s="3" t="s">
        <v>33</v>
      </c>
      <c r="E2640" s="3" t="s">
        <v>4550</v>
      </c>
      <c r="F2640" s="4">
        <v>43795.45208333333</v>
      </c>
      <c r="G2640" s="3" t="s">
        <v>4548</v>
      </c>
      <c r="H2640" s="3" t="s">
        <v>4549</v>
      </c>
      <c r="I2640" s="3" t="s">
        <v>7043</v>
      </c>
      <c r="J2640" s="3"/>
      <c r="K2640" s="3"/>
      <c r="L2640" s="5"/>
    </row>
    <row r="2641" spans="1:12" ht="28.8" x14ac:dyDescent="0.55000000000000004">
      <c r="A2641" s="9" t="str">
        <f>HYPERLINK("PDF\FOIA-FWS-2020-00724-0002640.pdf","FOIA-FWS-2020-00724-0002640")</f>
        <v>FOIA-FWS-2020-00724-0002640</v>
      </c>
      <c r="B2641" s="3" t="s">
        <v>4551</v>
      </c>
      <c r="C2641" s="3" t="s">
        <v>3</v>
      </c>
      <c r="D2641" s="3" t="s">
        <v>33</v>
      </c>
      <c r="E2641" s="3" t="s">
        <v>4553</v>
      </c>
      <c r="F2641" s="4">
        <v>43795.504861111112</v>
      </c>
      <c r="G2641" s="3" t="s">
        <v>1060</v>
      </c>
      <c r="H2641" s="3" t="s">
        <v>4552</v>
      </c>
      <c r="I2641" s="3" t="s">
        <v>7043</v>
      </c>
      <c r="J2641" s="3"/>
      <c r="K2641" s="3"/>
      <c r="L2641" s="5"/>
    </row>
    <row r="2642" spans="1:12" ht="28.8" x14ac:dyDescent="0.55000000000000004">
      <c r="A2642" s="9" t="str">
        <f>HYPERLINK("PDF\FOIA-FWS-2020-00724-0002641.pdf","FOIA-FWS-2020-00724-0002641")</f>
        <v>FOIA-FWS-2020-00724-0002641</v>
      </c>
      <c r="B2642" s="3" t="s">
        <v>4551</v>
      </c>
      <c r="C2642" s="3" t="s">
        <v>234</v>
      </c>
      <c r="D2642" s="3" t="s">
        <v>33</v>
      </c>
      <c r="E2642" s="3" t="s">
        <v>4554</v>
      </c>
      <c r="F2642" s="4">
        <v>43795.504861111112</v>
      </c>
      <c r="G2642" s="3"/>
      <c r="H2642" s="3"/>
      <c r="I2642" s="3" t="s">
        <v>7043</v>
      </c>
      <c r="J2642" s="3"/>
      <c r="K2642" s="3"/>
      <c r="L2642" s="5"/>
    </row>
    <row r="2643" spans="1:12" ht="28.8" x14ac:dyDescent="0.55000000000000004">
      <c r="A2643" s="9" t="str">
        <f>HYPERLINK("PDF\FOIA-FWS-2020-00724-0002642.pdf","FOIA-FWS-2020-00724-0002642")</f>
        <v>FOIA-FWS-2020-00724-0002642</v>
      </c>
      <c r="B2643" s="3" t="s">
        <v>4555</v>
      </c>
      <c r="C2643" s="3" t="s">
        <v>234</v>
      </c>
      <c r="D2643" s="3" t="s">
        <v>33</v>
      </c>
      <c r="E2643" s="3" t="s">
        <v>4556</v>
      </c>
      <c r="F2643" s="4">
        <v>43795.564583333333</v>
      </c>
      <c r="G2643" s="3"/>
      <c r="H2643" s="3"/>
      <c r="I2643" s="3" t="s">
        <v>7043</v>
      </c>
      <c r="J2643" s="3"/>
      <c r="K2643" s="3"/>
      <c r="L2643" s="5"/>
    </row>
    <row r="2644" spans="1:12" ht="28.8" x14ac:dyDescent="0.55000000000000004">
      <c r="A2644" s="9" t="str">
        <f>HYPERLINK("PDF\FOIA-FWS-2020-00724-0002643.pdf","FOIA-FWS-2020-00724-0002643")</f>
        <v>FOIA-FWS-2020-00724-0002643</v>
      </c>
      <c r="B2644" s="3" t="s">
        <v>4555</v>
      </c>
      <c r="C2644" s="3" t="s">
        <v>3</v>
      </c>
      <c r="D2644" s="3" t="s">
        <v>33</v>
      </c>
      <c r="E2644" s="3" t="s">
        <v>4558</v>
      </c>
      <c r="F2644" s="4">
        <v>43795.564583333333</v>
      </c>
      <c r="G2644" s="3" t="s">
        <v>4557</v>
      </c>
      <c r="H2644" s="3" t="s">
        <v>861</v>
      </c>
      <c r="I2644" s="3" t="s">
        <v>7043</v>
      </c>
      <c r="J2644" s="3"/>
      <c r="K2644" s="3"/>
      <c r="L2644" s="5"/>
    </row>
    <row r="2645" spans="1:12" ht="28.8" x14ac:dyDescent="0.55000000000000004">
      <c r="A2645" s="9" t="str">
        <f>HYPERLINK("PDF\FOIA-FWS-2020-00724-0002644.pdf","FOIA-FWS-2020-00724-0002644")</f>
        <v>FOIA-FWS-2020-00724-0002644</v>
      </c>
      <c r="B2645" s="3" t="s">
        <v>4559</v>
      </c>
      <c r="C2645" s="3" t="s">
        <v>3</v>
      </c>
      <c r="D2645" s="3" t="s">
        <v>33</v>
      </c>
      <c r="E2645" s="3" t="s">
        <v>4560</v>
      </c>
      <c r="F2645" s="4">
        <v>43795.767361111109</v>
      </c>
      <c r="G2645" s="3" t="s">
        <v>2120</v>
      </c>
      <c r="H2645" s="3" t="s">
        <v>4517</v>
      </c>
      <c r="I2645" s="3" t="s">
        <v>7043</v>
      </c>
      <c r="J2645" s="3"/>
      <c r="K2645" s="3"/>
      <c r="L2645" s="5"/>
    </row>
    <row r="2646" spans="1:12" ht="28.8" x14ac:dyDescent="0.55000000000000004">
      <c r="A2646" s="9" t="str">
        <f>HYPERLINK("PDF\FOIA-FWS-2020-00724-0002645.pdf","FOIA-FWS-2020-00724-0002645")</f>
        <v>FOIA-FWS-2020-00724-0002645</v>
      </c>
      <c r="B2646" s="3" t="s">
        <v>4559</v>
      </c>
      <c r="C2646" s="3" t="s">
        <v>234</v>
      </c>
      <c r="D2646" s="3" t="s">
        <v>33</v>
      </c>
      <c r="E2646" s="3" t="s">
        <v>4561</v>
      </c>
      <c r="F2646" s="4">
        <v>43795.767361111109</v>
      </c>
      <c r="G2646" s="3"/>
      <c r="H2646" s="3"/>
      <c r="I2646" s="3" t="s">
        <v>7043</v>
      </c>
      <c r="J2646" s="3"/>
      <c r="K2646" s="3"/>
      <c r="L2646" s="5"/>
    </row>
    <row r="2647" spans="1:12" ht="28.8" x14ac:dyDescent="0.55000000000000004">
      <c r="A2647" s="9" t="str">
        <f>HYPERLINK("PDF\FOIA-FWS-2020-00724-0002646.pdf","FOIA-FWS-2020-00724-0002646")</f>
        <v>FOIA-FWS-2020-00724-0002646</v>
      </c>
      <c r="B2647" s="3" t="s">
        <v>4562</v>
      </c>
      <c r="C2647" s="3" t="s">
        <v>3</v>
      </c>
      <c r="D2647" s="3" t="s">
        <v>33</v>
      </c>
      <c r="E2647" s="3" t="s">
        <v>4563</v>
      </c>
      <c r="F2647" s="4">
        <v>43795.864583333336</v>
      </c>
      <c r="G2647" s="3" t="s">
        <v>1119</v>
      </c>
      <c r="H2647" s="3" t="s">
        <v>1489</v>
      </c>
      <c r="I2647" s="3" t="s">
        <v>7043</v>
      </c>
      <c r="J2647" s="3"/>
      <c r="K2647" s="3"/>
      <c r="L2647" s="5"/>
    </row>
    <row r="2648" spans="1:12" ht="28.8" x14ac:dyDescent="0.55000000000000004">
      <c r="A2648" s="9" t="str">
        <f>HYPERLINK("PDF\FOIA-FWS-2020-00724-0002647.pdf","FOIA-FWS-2020-00724-0002647")</f>
        <v>FOIA-FWS-2020-00724-0002647</v>
      </c>
      <c r="B2648" s="3" t="s">
        <v>4562</v>
      </c>
      <c r="C2648" s="3" t="s">
        <v>234</v>
      </c>
      <c r="D2648" s="3" t="s">
        <v>160</v>
      </c>
      <c r="E2648" s="3" t="s">
        <v>4005</v>
      </c>
      <c r="F2648" s="4">
        <v>43795.864583333336</v>
      </c>
      <c r="G2648" s="3"/>
      <c r="H2648" s="3"/>
      <c r="I2648" s="3" t="s">
        <v>7043</v>
      </c>
      <c r="J2648" s="3"/>
      <c r="K2648" s="3"/>
      <c r="L2648" s="5" t="str">
        <f>HYPERLINK("NATIVE_FILES\FOIA-FWS-2020-00724-0002647.pkinfo","FOIA-FWS-2020-00724-0002647.pkinfo")</f>
        <v>FOIA-FWS-2020-00724-0002647.pkinfo</v>
      </c>
    </row>
    <row r="2649" spans="1:12" ht="28.8" x14ac:dyDescent="0.55000000000000004">
      <c r="A2649" s="9" t="str">
        <f>HYPERLINK("PDF\FOIA-FWS-2020-00724-0002648.pdf","FOIA-FWS-2020-00724-0002648")</f>
        <v>FOIA-FWS-2020-00724-0002648</v>
      </c>
      <c r="B2649" s="3" t="s">
        <v>4562</v>
      </c>
      <c r="C2649" s="3" t="s">
        <v>234</v>
      </c>
      <c r="D2649" s="3" t="s">
        <v>160</v>
      </c>
      <c r="E2649" s="3" t="s">
        <v>4006</v>
      </c>
      <c r="F2649" s="4">
        <v>43795.864583333336</v>
      </c>
      <c r="G2649" s="3"/>
      <c r="H2649" s="3"/>
      <c r="I2649" s="3" t="s">
        <v>7043</v>
      </c>
      <c r="J2649" s="3"/>
      <c r="K2649" s="3"/>
      <c r="L2649" s="5" t="str">
        <f>HYPERLINK("NATIVE_FILES\FOIA-FWS-2020-00724-0002648.xml","FOIA-FWS-2020-00724-0002648.xml")</f>
        <v>FOIA-FWS-2020-00724-0002648.xml</v>
      </c>
    </row>
    <row r="2650" spans="1:12" ht="28.8" x14ac:dyDescent="0.55000000000000004">
      <c r="A2650" s="9" t="str">
        <f>HYPERLINK("PDF\FOIA-FWS-2020-00724-0002649.pdf","FOIA-FWS-2020-00724-0002649")</f>
        <v>FOIA-FWS-2020-00724-0002649</v>
      </c>
      <c r="B2650" s="3" t="s">
        <v>4562</v>
      </c>
      <c r="C2650" s="3" t="s">
        <v>234</v>
      </c>
      <c r="D2650" s="3" t="s">
        <v>160</v>
      </c>
      <c r="E2650" s="3" t="s">
        <v>4007</v>
      </c>
      <c r="F2650" s="4">
        <v>43795.864583333336</v>
      </c>
      <c r="G2650" s="3"/>
      <c r="H2650" s="3"/>
      <c r="I2650" s="3" t="s">
        <v>7043</v>
      </c>
      <c r="J2650" s="3"/>
      <c r="K2650" s="3"/>
      <c r="L2650" s="5"/>
    </row>
    <row r="2651" spans="1:12" ht="28.8" x14ac:dyDescent="0.55000000000000004">
      <c r="A2651" s="9" t="str">
        <f>HYPERLINK("PDF\FOIA-FWS-2020-00724-0002650.pdf","FOIA-FWS-2020-00724-0002650")</f>
        <v>FOIA-FWS-2020-00724-0002650</v>
      </c>
      <c r="B2651" s="3" t="s">
        <v>4562</v>
      </c>
      <c r="C2651" s="3" t="s">
        <v>234</v>
      </c>
      <c r="D2651" s="3" t="s">
        <v>160</v>
      </c>
      <c r="E2651" s="3" t="s">
        <v>4564</v>
      </c>
      <c r="F2651" s="4">
        <v>43795.864583333336</v>
      </c>
      <c r="G2651" s="3"/>
      <c r="H2651" s="3"/>
      <c r="I2651" s="3" t="s">
        <v>7043</v>
      </c>
      <c r="J2651" s="3"/>
      <c r="K2651" s="3"/>
      <c r="L2651" s="5" t="str">
        <f>HYPERLINK("NATIVE_FILES\FOIA-FWS-2020-00724-0002650.lyrx","FOIA-FWS-2020-00724-0002650.lyrx")</f>
        <v>FOIA-FWS-2020-00724-0002650.lyrx</v>
      </c>
    </row>
    <row r="2652" spans="1:12" ht="28.8" x14ac:dyDescent="0.55000000000000004">
      <c r="A2652" s="9" t="str">
        <f>HYPERLINK("PDF\FOIA-FWS-2020-00724-0002651.pdf","FOIA-FWS-2020-00724-0002651")</f>
        <v>FOIA-FWS-2020-00724-0002651</v>
      </c>
      <c r="B2652" s="3" t="s">
        <v>4562</v>
      </c>
      <c r="C2652" s="3" t="s">
        <v>234</v>
      </c>
      <c r="D2652" s="3" t="s">
        <v>160</v>
      </c>
      <c r="E2652" s="3" t="s">
        <v>4226</v>
      </c>
      <c r="F2652" s="4">
        <v>43795.864583333336</v>
      </c>
      <c r="G2652" s="3"/>
      <c r="H2652" s="3"/>
      <c r="I2652" s="3" t="s">
        <v>7043</v>
      </c>
      <c r="J2652" s="3"/>
      <c r="K2652" s="3"/>
      <c r="L2652" s="5" t="str">
        <f>HYPERLINK("NATIVE_FILES\FOIA-FWS-2020-00724-0002651.gdbindexes","FOIA-FWS-2020-00724-0002651.gdbindexes")</f>
        <v>FOIA-FWS-2020-00724-0002651.gdbindexes</v>
      </c>
    </row>
    <row r="2653" spans="1:12" ht="28.8" x14ac:dyDescent="0.55000000000000004">
      <c r="A2653" s="9" t="str">
        <f>HYPERLINK("PDF\FOIA-FWS-2020-00724-0002652.pdf","FOIA-FWS-2020-00724-0002652")</f>
        <v>FOIA-FWS-2020-00724-0002652</v>
      </c>
      <c r="B2653" s="3" t="s">
        <v>4562</v>
      </c>
      <c r="C2653" s="3" t="s">
        <v>234</v>
      </c>
      <c r="D2653" s="3" t="s">
        <v>160</v>
      </c>
      <c r="E2653" s="3" t="s">
        <v>4227</v>
      </c>
      <c r="F2653" s="4">
        <v>43795.864583333336</v>
      </c>
      <c r="G2653" s="3"/>
      <c r="H2653" s="3"/>
      <c r="I2653" s="3" t="s">
        <v>7043</v>
      </c>
      <c r="J2653" s="3"/>
      <c r="K2653" s="3"/>
      <c r="L2653" s="5" t="str">
        <f>HYPERLINK("NATIVE_FILES\FOIA-FWS-2020-00724-0002652.gdbtable","FOIA-FWS-2020-00724-0002652.gdbtable")</f>
        <v>FOIA-FWS-2020-00724-0002652.gdbtable</v>
      </c>
    </row>
    <row r="2654" spans="1:12" ht="28.8" x14ac:dyDescent="0.55000000000000004">
      <c r="A2654" s="9" t="str">
        <f>HYPERLINK("PDF\FOIA-FWS-2020-00724-0002653.pdf","FOIA-FWS-2020-00724-0002653")</f>
        <v>FOIA-FWS-2020-00724-0002653</v>
      </c>
      <c r="B2654" s="3" t="s">
        <v>4562</v>
      </c>
      <c r="C2654" s="3" t="s">
        <v>234</v>
      </c>
      <c r="D2654" s="3" t="s">
        <v>160</v>
      </c>
      <c r="E2654" s="3" t="s">
        <v>4228</v>
      </c>
      <c r="F2654" s="4">
        <v>43795.864583333336</v>
      </c>
      <c r="G2654" s="3"/>
      <c r="H2654" s="3"/>
      <c r="I2654" s="3" t="s">
        <v>7043</v>
      </c>
      <c r="J2654" s="3"/>
      <c r="K2654" s="3"/>
      <c r="L2654" s="5" t="str">
        <f>HYPERLINK("NATIVE_FILES\FOIA-FWS-2020-00724-0002653.gdbtablx","FOIA-FWS-2020-00724-0002653.gdbtablx")</f>
        <v>FOIA-FWS-2020-00724-0002653.gdbtablx</v>
      </c>
    </row>
    <row r="2655" spans="1:12" ht="28.8" x14ac:dyDescent="0.55000000000000004">
      <c r="A2655" s="9" t="str">
        <f>HYPERLINK("PDF\FOIA-FWS-2020-00724-0002654.pdf","FOIA-FWS-2020-00724-0002654")</f>
        <v>FOIA-FWS-2020-00724-0002654</v>
      </c>
      <c r="B2655" s="3" t="s">
        <v>4562</v>
      </c>
      <c r="C2655" s="3" t="s">
        <v>234</v>
      </c>
      <c r="D2655" s="3" t="s">
        <v>160</v>
      </c>
      <c r="E2655" s="3" t="s">
        <v>4229</v>
      </c>
      <c r="F2655" s="4">
        <v>43795.864583333336</v>
      </c>
      <c r="G2655" s="3"/>
      <c r="H2655" s="3"/>
      <c r="I2655" s="3" t="s">
        <v>7043</v>
      </c>
      <c r="J2655" s="3"/>
      <c r="K2655" s="3"/>
      <c r="L2655" s="5" t="str">
        <f>HYPERLINK("NATIVE_FILES\FOIA-FWS-2020-00724-0002654.atx","FOIA-FWS-2020-00724-0002654.atx")</f>
        <v>FOIA-FWS-2020-00724-0002654.atx</v>
      </c>
    </row>
    <row r="2656" spans="1:12" ht="28.8" x14ac:dyDescent="0.55000000000000004">
      <c r="A2656" s="9" t="str">
        <f>HYPERLINK("PDF\FOIA-FWS-2020-00724-0002655.pdf","FOIA-FWS-2020-00724-0002655")</f>
        <v>FOIA-FWS-2020-00724-0002655</v>
      </c>
      <c r="B2656" s="3" t="s">
        <v>4562</v>
      </c>
      <c r="C2656" s="3" t="s">
        <v>234</v>
      </c>
      <c r="D2656" s="3" t="s">
        <v>160</v>
      </c>
      <c r="E2656" s="3" t="s">
        <v>4230</v>
      </c>
      <c r="F2656" s="4">
        <v>43795.864583333336</v>
      </c>
      <c r="G2656" s="3"/>
      <c r="H2656" s="3"/>
      <c r="I2656" s="3" t="s">
        <v>7043</v>
      </c>
      <c r="J2656" s="3"/>
      <c r="K2656" s="3"/>
      <c r="L2656" s="5" t="str">
        <f>HYPERLINK("NATIVE_FILES\FOIA-FWS-2020-00724-0002655.gdbtable","FOIA-FWS-2020-00724-0002655.gdbtable")</f>
        <v>FOIA-FWS-2020-00724-0002655.gdbtable</v>
      </c>
    </row>
    <row r="2657" spans="1:12" ht="28.8" x14ac:dyDescent="0.55000000000000004">
      <c r="A2657" s="9" t="str">
        <f>HYPERLINK("PDF\FOIA-FWS-2020-00724-0002656.pdf","FOIA-FWS-2020-00724-0002656")</f>
        <v>FOIA-FWS-2020-00724-0002656</v>
      </c>
      <c r="B2657" s="3" t="s">
        <v>4562</v>
      </c>
      <c r="C2657" s="3" t="s">
        <v>234</v>
      </c>
      <c r="D2657" s="3" t="s">
        <v>160</v>
      </c>
      <c r="E2657" s="3" t="s">
        <v>4231</v>
      </c>
      <c r="F2657" s="4">
        <v>43795.864583333336</v>
      </c>
      <c r="G2657" s="3"/>
      <c r="H2657" s="3"/>
      <c r="I2657" s="3" t="s">
        <v>7043</v>
      </c>
      <c r="J2657" s="3"/>
      <c r="K2657" s="3"/>
      <c r="L2657" s="5" t="str">
        <f>HYPERLINK("NATIVE_FILES\FOIA-FWS-2020-00724-0002656.gdbtablx","FOIA-FWS-2020-00724-0002656.gdbtablx")</f>
        <v>FOIA-FWS-2020-00724-0002656.gdbtablx</v>
      </c>
    </row>
    <row r="2658" spans="1:12" ht="28.8" x14ac:dyDescent="0.55000000000000004">
      <c r="A2658" s="9" t="str">
        <f>HYPERLINK("PDF\FOIA-FWS-2020-00724-0002657.pdf","FOIA-FWS-2020-00724-0002657")</f>
        <v>FOIA-FWS-2020-00724-0002657</v>
      </c>
      <c r="B2658" s="3" t="s">
        <v>4562</v>
      </c>
      <c r="C2658" s="3" t="s">
        <v>234</v>
      </c>
      <c r="D2658" s="3" t="s">
        <v>160</v>
      </c>
      <c r="E2658" s="3" t="s">
        <v>4236</v>
      </c>
      <c r="F2658" s="4">
        <v>43795.864583333336</v>
      </c>
      <c r="G2658" s="3"/>
      <c r="H2658" s="3"/>
      <c r="I2658" s="3" t="s">
        <v>7043</v>
      </c>
      <c r="J2658" s="3"/>
      <c r="K2658" s="3"/>
      <c r="L2658" s="5" t="str">
        <f>HYPERLINK("NATIVE_FILES\FOIA-FWS-2020-00724-0002657.gdbindexes","FOIA-FWS-2020-00724-0002657.gdbindexes")</f>
        <v>FOIA-FWS-2020-00724-0002657.gdbindexes</v>
      </c>
    </row>
    <row r="2659" spans="1:12" ht="28.8" x14ac:dyDescent="0.55000000000000004">
      <c r="A2659" s="9" t="str">
        <f>HYPERLINK("PDF\FOIA-FWS-2020-00724-0002658.pdf","FOIA-FWS-2020-00724-0002658")</f>
        <v>FOIA-FWS-2020-00724-0002658</v>
      </c>
      <c r="B2659" s="3" t="s">
        <v>4562</v>
      </c>
      <c r="C2659" s="3" t="s">
        <v>234</v>
      </c>
      <c r="D2659" s="3" t="s">
        <v>160</v>
      </c>
      <c r="E2659" s="3" t="s">
        <v>4237</v>
      </c>
      <c r="F2659" s="4">
        <v>43795.864583333336</v>
      </c>
      <c r="G2659" s="3"/>
      <c r="H2659" s="3"/>
      <c r="I2659" s="3" t="s">
        <v>7043</v>
      </c>
      <c r="J2659" s="3"/>
      <c r="K2659" s="3"/>
      <c r="L2659" s="5" t="str">
        <f>HYPERLINK("NATIVE_FILES\FOIA-FWS-2020-00724-0002658.gdbtable","FOIA-FWS-2020-00724-0002658.gdbtable")</f>
        <v>FOIA-FWS-2020-00724-0002658.gdbtable</v>
      </c>
    </row>
    <row r="2660" spans="1:12" ht="28.8" x14ac:dyDescent="0.55000000000000004">
      <c r="A2660" s="9" t="str">
        <f>HYPERLINK("PDF\FOIA-FWS-2020-00724-0002659.pdf","FOIA-FWS-2020-00724-0002659")</f>
        <v>FOIA-FWS-2020-00724-0002659</v>
      </c>
      <c r="B2660" s="3" t="s">
        <v>4562</v>
      </c>
      <c r="C2660" s="3" t="s">
        <v>234</v>
      </c>
      <c r="D2660" s="3" t="s">
        <v>160</v>
      </c>
      <c r="E2660" s="3" t="s">
        <v>4238</v>
      </c>
      <c r="F2660" s="4">
        <v>43795.864583333336</v>
      </c>
      <c r="G2660" s="3"/>
      <c r="H2660" s="3"/>
      <c r="I2660" s="3" t="s">
        <v>7043</v>
      </c>
      <c r="J2660" s="3"/>
      <c r="K2660" s="3"/>
      <c r="L2660" s="5" t="str">
        <f>HYPERLINK("NATIVE_FILES\FOIA-FWS-2020-00724-0002659.gdbtablx","FOIA-FWS-2020-00724-0002659.gdbtablx")</f>
        <v>FOIA-FWS-2020-00724-0002659.gdbtablx</v>
      </c>
    </row>
    <row r="2661" spans="1:12" ht="28.8" x14ac:dyDescent="0.55000000000000004">
      <c r="A2661" s="9" t="str">
        <f>HYPERLINK("PDF\FOIA-FWS-2020-00724-0002660.pdf","FOIA-FWS-2020-00724-0002660")</f>
        <v>FOIA-FWS-2020-00724-0002660</v>
      </c>
      <c r="B2661" s="3" t="s">
        <v>4562</v>
      </c>
      <c r="C2661" s="3" t="s">
        <v>234</v>
      </c>
      <c r="D2661" s="3" t="s">
        <v>160</v>
      </c>
      <c r="E2661" s="3" t="s">
        <v>4565</v>
      </c>
      <c r="F2661" s="4">
        <v>43795.864583333336</v>
      </c>
      <c r="G2661" s="3"/>
      <c r="H2661" s="3"/>
      <c r="I2661" s="3" t="s">
        <v>7043</v>
      </c>
      <c r="J2661" s="3"/>
      <c r="K2661" s="3"/>
      <c r="L2661" s="5" t="str">
        <f>HYPERLINK("NATIVE_FILES\FOIA-FWS-2020-00724-0002660.atx","FOIA-FWS-2020-00724-0002660.atx")</f>
        <v>FOIA-FWS-2020-00724-0002660.atx</v>
      </c>
    </row>
    <row r="2662" spans="1:12" ht="28.8" x14ac:dyDescent="0.55000000000000004">
      <c r="A2662" s="9" t="str">
        <f>HYPERLINK("PDF\FOIA-FWS-2020-00724-0002661.pdf","FOIA-FWS-2020-00724-0002661")</f>
        <v>FOIA-FWS-2020-00724-0002661</v>
      </c>
      <c r="B2662" s="3" t="s">
        <v>4562</v>
      </c>
      <c r="C2662" s="3" t="s">
        <v>234</v>
      </c>
      <c r="D2662" s="3" t="s">
        <v>160</v>
      </c>
      <c r="E2662" s="3" t="s">
        <v>4566</v>
      </c>
      <c r="F2662" s="4">
        <v>43795.864583333336</v>
      </c>
      <c r="G2662" s="3"/>
      <c r="H2662" s="3"/>
      <c r="I2662" s="3" t="s">
        <v>7043</v>
      </c>
      <c r="J2662" s="3"/>
      <c r="K2662" s="3"/>
      <c r="L2662" s="5" t="str">
        <f>HYPERLINK("NATIVE_FILES\FOIA-FWS-2020-00724-0002661.atx","FOIA-FWS-2020-00724-0002661.atx")</f>
        <v>FOIA-FWS-2020-00724-0002661.atx</v>
      </c>
    </row>
    <row r="2663" spans="1:12" ht="28.8" x14ac:dyDescent="0.55000000000000004">
      <c r="A2663" s="9" t="str">
        <f>HYPERLINK("PDF\FOIA-FWS-2020-00724-0002662.pdf","FOIA-FWS-2020-00724-0002662")</f>
        <v>FOIA-FWS-2020-00724-0002662</v>
      </c>
      <c r="B2663" s="3" t="s">
        <v>4562</v>
      </c>
      <c r="C2663" s="3" t="s">
        <v>234</v>
      </c>
      <c r="D2663" s="3" t="s">
        <v>160</v>
      </c>
      <c r="E2663" s="3" t="s">
        <v>4567</v>
      </c>
      <c r="F2663" s="4">
        <v>43795.864583333336</v>
      </c>
      <c r="G2663" s="3"/>
      <c r="H2663" s="3"/>
      <c r="I2663" s="3" t="s">
        <v>7043</v>
      </c>
      <c r="J2663" s="3"/>
      <c r="K2663" s="3"/>
      <c r="L2663" s="5" t="str">
        <f>HYPERLINK("NATIVE_FILES\FOIA-FWS-2020-00724-0002662.atx","FOIA-FWS-2020-00724-0002662.atx")</f>
        <v>FOIA-FWS-2020-00724-0002662.atx</v>
      </c>
    </row>
    <row r="2664" spans="1:12" ht="28.8" x14ac:dyDescent="0.55000000000000004">
      <c r="A2664" s="9" t="str">
        <f>HYPERLINK("PDF\FOIA-FWS-2020-00724-0002663.pdf","FOIA-FWS-2020-00724-0002663")</f>
        <v>FOIA-FWS-2020-00724-0002663</v>
      </c>
      <c r="B2664" s="3" t="s">
        <v>4562</v>
      </c>
      <c r="C2664" s="3" t="s">
        <v>234</v>
      </c>
      <c r="D2664" s="3" t="s">
        <v>160</v>
      </c>
      <c r="E2664" s="3" t="s">
        <v>4568</v>
      </c>
      <c r="F2664" s="4">
        <v>43795.864583333336</v>
      </c>
      <c r="G2664" s="3"/>
      <c r="H2664" s="3"/>
      <c r="I2664" s="3" t="s">
        <v>7043</v>
      </c>
      <c r="J2664" s="3"/>
      <c r="K2664" s="3"/>
      <c r="L2664" s="5" t="str">
        <f>HYPERLINK("NATIVE_FILES\FOIA-FWS-2020-00724-0002663.gdbindexes","FOIA-FWS-2020-00724-0002663.gdbindexes")</f>
        <v>FOIA-FWS-2020-00724-0002663.gdbindexes</v>
      </c>
    </row>
    <row r="2665" spans="1:12" ht="28.8" x14ac:dyDescent="0.55000000000000004">
      <c r="A2665" s="9" t="str">
        <f>HYPERLINK("PDF\FOIA-FWS-2020-00724-0002664.pdf","FOIA-FWS-2020-00724-0002664")</f>
        <v>FOIA-FWS-2020-00724-0002664</v>
      </c>
      <c r="B2665" s="3" t="s">
        <v>4562</v>
      </c>
      <c r="C2665" s="3" t="s">
        <v>234</v>
      </c>
      <c r="D2665" s="3" t="s">
        <v>160</v>
      </c>
      <c r="E2665" s="3" t="s">
        <v>4569</v>
      </c>
      <c r="F2665" s="4">
        <v>43795.864583333336</v>
      </c>
      <c r="G2665" s="3"/>
      <c r="H2665" s="3"/>
      <c r="I2665" s="3" t="s">
        <v>7043</v>
      </c>
      <c r="J2665" s="3"/>
      <c r="K2665" s="3"/>
      <c r="L2665" s="5" t="str">
        <f>HYPERLINK("NATIVE_FILES\FOIA-FWS-2020-00724-0002664.gdbtable","FOIA-FWS-2020-00724-0002664.gdbtable")</f>
        <v>FOIA-FWS-2020-00724-0002664.gdbtable</v>
      </c>
    </row>
    <row r="2666" spans="1:12" ht="28.8" x14ac:dyDescent="0.55000000000000004">
      <c r="A2666" s="9" t="str">
        <f>HYPERLINK("PDF\FOIA-FWS-2020-00724-0002665.pdf","FOIA-FWS-2020-00724-0002665")</f>
        <v>FOIA-FWS-2020-00724-0002665</v>
      </c>
      <c r="B2666" s="3" t="s">
        <v>4562</v>
      </c>
      <c r="C2666" s="3" t="s">
        <v>234</v>
      </c>
      <c r="D2666" s="3" t="s">
        <v>160</v>
      </c>
      <c r="E2666" s="3" t="s">
        <v>4570</v>
      </c>
      <c r="F2666" s="4">
        <v>43795.864583333336</v>
      </c>
      <c r="G2666" s="3"/>
      <c r="H2666" s="3"/>
      <c r="I2666" s="3" t="s">
        <v>7043</v>
      </c>
      <c r="J2666" s="3"/>
      <c r="K2666" s="3"/>
      <c r="L2666" s="5" t="str">
        <f>HYPERLINK("NATIVE_FILES\FOIA-FWS-2020-00724-0002665.gdbtablx","FOIA-FWS-2020-00724-0002665.gdbtablx")</f>
        <v>FOIA-FWS-2020-00724-0002665.gdbtablx</v>
      </c>
    </row>
    <row r="2667" spans="1:12" ht="28.8" x14ac:dyDescent="0.55000000000000004">
      <c r="A2667" s="9" t="str">
        <f>HYPERLINK("PDF\FOIA-FWS-2020-00724-0002666.pdf","FOIA-FWS-2020-00724-0002666")</f>
        <v>FOIA-FWS-2020-00724-0002666</v>
      </c>
      <c r="B2667" s="3" t="s">
        <v>4562</v>
      </c>
      <c r="C2667" s="3" t="s">
        <v>234</v>
      </c>
      <c r="D2667" s="3" t="s">
        <v>160</v>
      </c>
      <c r="E2667" s="3" t="s">
        <v>4571</v>
      </c>
      <c r="F2667" s="4">
        <v>43795.864583333336</v>
      </c>
      <c r="G2667" s="3"/>
      <c r="H2667" s="3"/>
      <c r="I2667" s="3" t="s">
        <v>7043</v>
      </c>
      <c r="J2667" s="3"/>
      <c r="K2667" s="3"/>
      <c r="L2667" s="5" t="str">
        <f>HYPERLINK("NATIVE_FILES\FOIA-FWS-2020-00724-0002666.spx","FOIA-FWS-2020-00724-0002666.spx")</f>
        <v>FOIA-FWS-2020-00724-0002666.spx</v>
      </c>
    </row>
    <row r="2668" spans="1:12" ht="28.8" x14ac:dyDescent="0.55000000000000004">
      <c r="A2668" s="9" t="str">
        <f>HYPERLINK("PDF\FOIA-FWS-2020-00724-0002667.pdf","FOIA-FWS-2020-00724-0002667")</f>
        <v>FOIA-FWS-2020-00724-0002667</v>
      </c>
      <c r="B2668" s="3" t="s">
        <v>4562</v>
      </c>
      <c r="C2668" s="3" t="s">
        <v>234</v>
      </c>
      <c r="D2668" s="3" t="s">
        <v>160</v>
      </c>
      <c r="E2668" s="3" t="s">
        <v>4572</v>
      </c>
      <c r="F2668" s="4">
        <v>43795.864583333336</v>
      </c>
      <c r="G2668" s="3"/>
      <c r="H2668" s="3"/>
      <c r="I2668" s="3" t="s">
        <v>7043</v>
      </c>
      <c r="J2668" s="3"/>
      <c r="K2668" s="3"/>
      <c r="L2668" s="5" t="str">
        <f>HYPERLINK("NATIVE_FILES\FOIA-FWS-2020-00724-0002667.atx","FOIA-FWS-2020-00724-0002667.atx")</f>
        <v>FOIA-FWS-2020-00724-0002667.atx</v>
      </c>
    </row>
    <row r="2669" spans="1:12" ht="28.8" x14ac:dyDescent="0.55000000000000004">
      <c r="A2669" s="9" t="str">
        <f>HYPERLINK("PDF\FOIA-FWS-2020-00724-0002668.pdf","FOIA-FWS-2020-00724-0002668")</f>
        <v>FOIA-FWS-2020-00724-0002668</v>
      </c>
      <c r="B2669" s="3" t="s">
        <v>4562</v>
      </c>
      <c r="C2669" s="3" t="s">
        <v>234</v>
      </c>
      <c r="D2669" s="3" t="s">
        <v>160</v>
      </c>
      <c r="E2669" s="3" t="s">
        <v>4573</v>
      </c>
      <c r="F2669" s="4">
        <v>43795.864583333336</v>
      </c>
      <c r="G2669" s="3"/>
      <c r="H2669" s="3"/>
      <c r="I2669" s="3" t="s">
        <v>7043</v>
      </c>
      <c r="J2669" s="3"/>
      <c r="K2669" s="3"/>
      <c r="L2669" s="5" t="str">
        <f>HYPERLINK("NATIVE_FILES\FOIA-FWS-2020-00724-0002668.atx","FOIA-FWS-2020-00724-0002668.atx")</f>
        <v>FOIA-FWS-2020-00724-0002668.atx</v>
      </c>
    </row>
    <row r="2670" spans="1:12" ht="28.8" x14ac:dyDescent="0.55000000000000004">
      <c r="A2670" s="9" t="str">
        <f>HYPERLINK("PDF\FOIA-FWS-2020-00724-0002669.pdf","FOIA-FWS-2020-00724-0002669")</f>
        <v>FOIA-FWS-2020-00724-0002669</v>
      </c>
      <c r="B2670" s="3" t="s">
        <v>4562</v>
      </c>
      <c r="C2670" s="3" t="s">
        <v>234</v>
      </c>
      <c r="D2670" s="3" t="s">
        <v>160</v>
      </c>
      <c r="E2670" s="3" t="s">
        <v>4574</v>
      </c>
      <c r="F2670" s="4">
        <v>43795.864583333336</v>
      </c>
      <c r="G2670" s="3"/>
      <c r="H2670" s="3"/>
      <c r="I2670" s="3" t="s">
        <v>7043</v>
      </c>
      <c r="J2670" s="3"/>
      <c r="K2670" s="3"/>
      <c r="L2670" s="5" t="str">
        <f>HYPERLINK("NATIVE_FILES\FOIA-FWS-2020-00724-0002669.atx","FOIA-FWS-2020-00724-0002669.atx")</f>
        <v>FOIA-FWS-2020-00724-0002669.atx</v>
      </c>
    </row>
    <row r="2671" spans="1:12" ht="28.8" x14ac:dyDescent="0.55000000000000004">
      <c r="A2671" s="9" t="str">
        <f>HYPERLINK("PDF\FOIA-FWS-2020-00724-0002670.pdf","FOIA-FWS-2020-00724-0002670")</f>
        <v>FOIA-FWS-2020-00724-0002670</v>
      </c>
      <c r="B2671" s="3" t="s">
        <v>4562</v>
      </c>
      <c r="C2671" s="3" t="s">
        <v>234</v>
      </c>
      <c r="D2671" s="3" t="s">
        <v>160</v>
      </c>
      <c r="E2671" s="3" t="s">
        <v>4575</v>
      </c>
      <c r="F2671" s="4">
        <v>43795.864583333336</v>
      </c>
      <c r="G2671" s="3"/>
      <c r="H2671" s="3"/>
      <c r="I2671" s="3" t="s">
        <v>7043</v>
      </c>
      <c r="J2671" s="3"/>
      <c r="K2671" s="3"/>
      <c r="L2671" s="5" t="str">
        <f>HYPERLINK("NATIVE_FILES\FOIA-FWS-2020-00724-0002670.gdbindexes","FOIA-FWS-2020-00724-0002670.gdbindexes")</f>
        <v>FOIA-FWS-2020-00724-0002670.gdbindexes</v>
      </c>
    </row>
    <row r="2672" spans="1:12" ht="28.8" x14ac:dyDescent="0.55000000000000004">
      <c r="A2672" s="9" t="str">
        <f>HYPERLINK("PDF\FOIA-FWS-2020-00724-0002671.pdf","FOIA-FWS-2020-00724-0002671")</f>
        <v>FOIA-FWS-2020-00724-0002671</v>
      </c>
      <c r="B2672" s="3" t="s">
        <v>4562</v>
      </c>
      <c r="C2672" s="3" t="s">
        <v>234</v>
      </c>
      <c r="D2672" s="3" t="s">
        <v>160</v>
      </c>
      <c r="E2672" s="3" t="s">
        <v>4576</v>
      </c>
      <c r="F2672" s="4">
        <v>43795.864583333336</v>
      </c>
      <c r="G2672" s="3"/>
      <c r="H2672" s="3"/>
      <c r="I2672" s="3" t="s">
        <v>7043</v>
      </c>
      <c r="J2672" s="3"/>
      <c r="K2672" s="3"/>
      <c r="L2672" s="5" t="str">
        <f>HYPERLINK("NATIVE_FILES\FOIA-FWS-2020-00724-0002671.gdbtable","FOIA-FWS-2020-00724-0002671.gdbtable")</f>
        <v>FOIA-FWS-2020-00724-0002671.gdbtable</v>
      </c>
    </row>
    <row r="2673" spans="1:12" ht="28.8" x14ac:dyDescent="0.55000000000000004">
      <c r="A2673" s="9" t="str">
        <f>HYPERLINK("PDF\FOIA-FWS-2020-00724-0002672.pdf","FOIA-FWS-2020-00724-0002672")</f>
        <v>FOIA-FWS-2020-00724-0002672</v>
      </c>
      <c r="B2673" s="3" t="s">
        <v>4562</v>
      </c>
      <c r="C2673" s="3" t="s">
        <v>234</v>
      </c>
      <c r="D2673" s="3" t="s">
        <v>160</v>
      </c>
      <c r="E2673" s="3" t="s">
        <v>4577</v>
      </c>
      <c r="F2673" s="4">
        <v>43795.864583333336</v>
      </c>
      <c r="G2673" s="3"/>
      <c r="H2673" s="3"/>
      <c r="I2673" s="3" t="s">
        <v>7043</v>
      </c>
      <c r="J2673" s="3"/>
      <c r="K2673" s="3"/>
      <c r="L2673" s="5" t="str">
        <f>HYPERLINK("NATIVE_FILES\FOIA-FWS-2020-00724-0002672.gdbtablx","FOIA-FWS-2020-00724-0002672.gdbtablx")</f>
        <v>FOIA-FWS-2020-00724-0002672.gdbtablx</v>
      </c>
    </row>
    <row r="2674" spans="1:12" ht="28.8" x14ac:dyDescent="0.55000000000000004">
      <c r="A2674" s="9" t="str">
        <f>HYPERLINK("PDF\FOIA-FWS-2020-00724-0002673.pdf","FOIA-FWS-2020-00724-0002673")</f>
        <v>FOIA-FWS-2020-00724-0002673</v>
      </c>
      <c r="B2674" s="3" t="s">
        <v>4562</v>
      </c>
      <c r="C2674" s="3" t="s">
        <v>234</v>
      </c>
      <c r="D2674" s="3" t="s">
        <v>160</v>
      </c>
      <c r="E2674" s="3" t="s">
        <v>4578</v>
      </c>
      <c r="F2674" s="4">
        <v>43795.864583333336</v>
      </c>
      <c r="G2674" s="3"/>
      <c r="H2674" s="3"/>
      <c r="I2674" s="3" t="s">
        <v>7043</v>
      </c>
      <c r="J2674" s="3"/>
      <c r="K2674" s="3"/>
      <c r="L2674" s="5" t="str">
        <f>HYPERLINK("NATIVE_FILES\FOIA-FWS-2020-00724-0002673.atx","FOIA-FWS-2020-00724-0002673.atx")</f>
        <v>FOIA-FWS-2020-00724-0002673.atx</v>
      </c>
    </row>
    <row r="2675" spans="1:12" ht="28.8" x14ac:dyDescent="0.55000000000000004">
      <c r="A2675" s="9" t="str">
        <f>HYPERLINK("PDF\FOIA-FWS-2020-00724-0002674.pdf","FOIA-FWS-2020-00724-0002674")</f>
        <v>FOIA-FWS-2020-00724-0002674</v>
      </c>
      <c r="B2675" s="3" t="s">
        <v>4562</v>
      </c>
      <c r="C2675" s="3" t="s">
        <v>234</v>
      </c>
      <c r="D2675" s="3" t="s">
        <v>160</v>
      </c>
      <c r="E2675" s="3" t="s">
        <v>4579</v>
      </c>
      <c r="F2675" s="4">
        <v>43795.864583333336</v>
      </c>
      <c r="G2675" s="3"/>
      <c r="H2675" s="3"/>
      <c r="I2675" s="3" t="s">
        <v>7043</v>
      </c>
      <c r="J2675" s="3"/>
      <c r="K2675" s="3"/>
      <c r="L2675" s="5" t="str">
        <f>HYPERLINK("NATIVE_FILES\FOIA-FWS-2020-00724-0002674.atx","FOIA-FWS-2020-00724-0002674.atx")</f>
        <v>FOIA-FWS-2020-00724-0002674.atx</v>
      </c>
    </row>
    <row r="2676" spans="1:12" ht="28.8" x14ac:dyDescent="0.55000000000000004">
      <c r="A2676" s="9" t="str">
        <f>HYPERLINK("PDF\FOIA-FWS-2020-00724-0002675.pdf","FOIA-FWS-2020-00724-0002675")</f>
        <v>FOIA-FWS-2020-00724-0002675</v>
      </c>
      <c r="B2676" s="3" t="s">
        <v>4562</v>
      </c>
      <c r="C2676" s="3" t="s">
        <v>234</v>
      </c>
      <c r="D2676" s="3" t="s">
        <v>160</v>
      </c>
      <c r="E2676" s="3" t="s">
        <v>4580</v>
      </c>
      <c r="F2676" s="4">
        <v>43795.864583333336</v>
      </c>
      <c r="G2676" s="3"/>
      <c r="H2676" s="3"/>
      <c r="I2676" s="3" t="s">
        <v>7043</v>
      </c>
      <c r="J2676" s="3"/>
      <c r="K2676" s="3"/>
      <c r="L2676" s="5" t="str">
        <f>HYPERLINK("NATIVE_FILES\FOIA-FWS-2020-00724-0002675.atx","FOIA-FWS-2020-00724-0002675.atx")</f>
        <v>FOIA-FWS-2020-00724-0002675.atx</v>
      </c>
    </row>
    <row r="2677" spans="1:12" ht="28.8" x14ac:dyDescent="0.55000000000000004">
      <c r="A2677" s="9" t="str">
        <f>HYPERLINK("PDF\FOIA-FWS-2020-00724-0002676.pdf","FOIA-FWS-2020-00724-0002676")</f>
        <v>FOIA-FWS-2020-00724-0002676</v>
      </c>
      <c r="B2677" s="3" t="s">
        <v>4562</v>
      </c>
      <c r="C2677" s="3" t="s">
        <v>234</v>
      </c>
      <c r="D2677" s="3" t="s">
        <v>160</v>
      </c>
      <c r="E2677" s="3" t="s">
        <v>4581</v>
      </c>
      <c r="F2677" s="4">
        <v>43795.864583333336</v>
      </c>
      <c r="G2677" s="3"/>
      <c r="H2677" s="3"/>
      <c r="I2677" s="3" t="s">
        <v>7043</v>
      </c>
      <c r="J2677" s="3"/>
      <c r="K2677" s="3"/>
      <c r="L2677" s="5" t="str">
        <f>HYPERLINK("NATIVE_FILES\FOIA-FWS-2020-00724-0002676.atx","FOIA-FWS-2020-00724-0002676.atx")</f>
        <v>FOIA-FWS-2020-00724-0002676.atx</v>
      </c>
    </row>
    <row r="2678" spans="1:12" ht="28.8" x14ac:dyDescent="0.55000000000000004">
      <c r="A2678" s="9" t="str">
        <f>HYPERLINK("PDF\FOIA-FWS-2020-00724-0002677.pdf","FOIA-FWS-2020-00724-0002677")</f>
        <v>FOIA-FWS-2020-00724-0002677</v>
      </c>
      <c r="B2678" s="3" t="s">
        <v>4562</v>
      </c>
      <c r="C2678" s="3" t="s">
        <v>234</v>
      </c>
      <c r="D2678" s="3" t="s">
        <v>160</v>
      </c>
      <c r="E2678" s="3" t="s">
        <v>4582</v>
      </c>
      <c r="F2678" s="4">
        <v>43795.864583333336</v>
      </c>
      <c r="G2678" s="3"/>
      <c r="H2678" s="3"/>
      <c r="I2678" s="3" t="s">
        <v>7043</v>
      </c>
      <c r="J2678" s="3"/>
      <c r="K2678" s="3"/>
      <c r="L2678" s="5" t="str">
        <f>HYPERLINK("NATIVE_FILES\FOIA-FWS-2020-00724-0002677.gdbindexes","FOIA-FWS-2020-00724-0002677.gdbindexes")</f>
        <v>FOIA-FWS-2020-00724-0002677.gdbindexes</v>
      </c>
    </row>
    <row r="2679" spans="1:12" ht="28.8" x14ac:dyDescent="0.55000000000000004">
      <c r="A2679" s="9" t="str">
        <f>HYPERLINK("PDF\FOIA-FWS-2020-00724-0002678.pdf","FOIA-FWS-2020-00724-0002678")</f>
        <v>FOIA-FWS-2020-00724-0002678</v>
      </c>
      <c r="B2679" s="3" t="s">
        <v>4562</v>
      </c>
      <c r="C2679" s="3" t="s">
        <v>234</v>
      </c>
      <c r="D2679" s="3" t="s">
        <v>160</v>
      </c>
      <c r="E2679" s="3" t="s">
        <v>4583</v>
      </c>
      <c r="F2679" s="4">
        <v>43795.864583333336</v>
      </c>
      <c r="G2679" s="3"/>
      <c r="H2679" s="3"/>
      <c r="I2679" s="3" t="s">
        <v>7043</v>
      </c>
      <c r="J2679" s="3"/>
      <c r="K2679" s="3"/>
      <c r="L2679" s="5" t="str">
        <f>HYPERLINK("NATIVE_FILES\FOIA-FWS-2020-00724-0002678.gdbtable","FOIA-FWS-2020-00724-0002678.gdbtable")</f>
        <v>FOIA-FWS-2020-00724-0002678.gdbtable</v>
      </c>
    </row>
    <row r="2680" spans="1:12" ht="28.8" x14ac:dyDescent="0.55000000000000004">
      <c r="A2680" s="9" t="str">
        <f>HYPERLINK("PDF\FOIA-FWS-2020-00724-0002679.pdf","FOIA-FWS-2020-00724-0002679")</f>
        <v>FOIA-FWS-2020-00724-0002679</v>
      </c>
      <c r="B2680" s="3" t="s">
        <v>4562</v>
      </c>
      <c r="C2680" s="3" t="s">
        <v>234</v>
      </c>
      <c r="D2680" s="3" t="s">
        <v>160</v>
      </c>
      <c r="E2680" s="3" t="s">
        <v>4584</v>
      </c>
      <c r="F2680" s="4">
        <v>43795.864583333336</v>
      </c>
      <c r="G2680" s="3"/>
      <c r="H2680" s="3"/>
      <c r="I2680" s="3" t="s">
        <v>7043</v>
      </c>
      <c r="J2680" s="3"/>
      <c r="K2680" s="3"/>
      <c r="L2680" s="5" t="str">
        <f>HYPERLINK("NATIVE_FILES\FOIA-FWS-2020-00724-0002679.gdbtablx","FOIA-FWS-2020-00724-0002679.gdbtablx")</f>
        <v>FOIA-FWS-2020-00724-0002679.gdbtablx</v>
      </c>
    </row>
    <row r="2681" spans="1:12" ht="28.8" x14ac:dyDescent="0.55000000000000004">
      <c r="A2681" s="9" t="str">
        <f>HYPERLINK("PDF\FOIA-FWS-2020-00724-0002680.pdf","FOIA-FWS-2020-00724-0002680")</f>
        <v>FOIA-FWS-2020-00724-0002680</v>
      </c>
      <c r="B2681" s="3" t="s">
        <v>4562</v>
      </c>
      <c r="C2681" s="3" t="s">
        <v>234</v>
      </c>
      <c r="D2681" s="3" t="s">
        <v>160</v>
      </c>
      <c r="E2681" s="3" t="s">
        <v>4585</v>
      </c>
      <c r="F2681" s="4">
        <v>43795.864583333336</v>
      </c>
      <c r="G2681" s="3"/>
      <c r="H2681" s="3"/>
      <c r="I2681" s="3" t="s">
        <v>7043</v>
      </c>
      <c r="J2681" s="3"/>
      <c r="K2681" s="3"/>
      <c r="L2681" s="5" t="str">
        <f>HYPERLINK("NATIVE_FILES\FOIA-FWS-2020-00724-0002680.atx","FOIA-FWS-2020-00724-0002680.atx")</f>
        <v>FOIA-FWS-2020-00724-0002680.atx</v>
      </c>
    </row>
    <row r="2682" spans="1:12" ht="28.8" x14ac:dyDescent="0.55000000000000004">
      <c r="A2682" s="9" t="str">
        <f>HYPERLINK("PDF\FOIA-FWS-2020-00724-0002681.pdf","FOIA-FWS-2020-00724-0002681")</f>
        <v>FOIA-FWS-2020-00724-0002681</v>
      </c>
      <c r="B2682" s="3" t="s">
        <v>4562</v>
      </c>
      <c r="C2682" s="3" t="s">
        <v>234</v>
      </c>
      <c r="D2682" s="3" t="s">
        <v>160</v>
      </c>
      <c r="E2682" s="3" t="s">
        <v>4586</v>
      </c>
      <c r="F2682" s="4">
        <v>43795.864583333336</v>
      </c>
      <c r="G2682" s="3"/>
      <c r="H2682" s="3"/>
      <c r="I2682" s="3" t="s">
        <v>7043</v>
      </c>
      <c r="J2682" s="3"/>
      <c r="K2682" s="3"/>
      <c r="L2682" s="5" t="str">
        <f>HYPERLINK("NATIVE_FILES\FOIA-FWS-2020-00724-0002681.atx","FOIA-FWS-2020-00724-0002681.atx")</f>
        <v>FOIA-FWS-2020-00724-0002681.atx</v>
      </c>
    </row>
    <row r="2683" spans="1:12" ht="28.8" x14ac:dyDescent="0.55000000000000004">
      <c r="A2683" s="9" t="str">
        <f>HYPERLINK("PDF\FOIA-FWS-2020-00724-0002682.pdf","FOIA-FWS-2020-00724-0002682")</f>
        <v>FOIA-FWS-2020-00724-0002682</v>
      </c>
      <c r="B2683" s="3" t="s">
        <v>4562</v>
      </c>
      <c r="C2683" s="3" t="s">
        <v>234</v>
      </c>
      <c r="D2683" s="3" t="s">
        <v>160</v>
      </c>
      <c r="E2683" s="3" t="s">
        <v>4587</v>
      </c>
      <c r="F2683" s="4">
        <v>43795.864583333336</v>
      </c>
      <c r="G2683" s="3"/>
      <c r="H2683" s="3"/>
      <c r="I2683" s="3" t="s">
        <v>7043</v>
      </c>
      <c r="J2683" s="3"/>
      <c r="K2683" s="3"/>
      <c r="L2683" s="5" t="str">
        <f>HYPERLINK("NATIVE_FILES\FOIA-FWS-2020-00724-0002682.atx","FOIA-FWS-2020-00724-0002682.atx")</f>
        <v>FOIA-FWS-2020-00724-0002682.atx</v>
      </c>
    </row>
    <row r="2684" spans="1:12" ht="28.8" x14ac:dyDescent="0.55000000000000004">
      <c r="A2684" s="9" t="str">
        <f>HYPERLINK("PDF\FOIA-FWS-2020-00724-0002683.pdf","FOIA-FWS-2020-00724-0002683")</f>
        <v>FOIA-FWS-2020-00724-0002683</v>
      </c>
      <c r="B2684" s="3" t="s">
        <v>4562</v>
      </c>
      <c r="C2684" s="3" t="s">
        <v>234</v>
      </c>
      <c r="D2684" s="3" t="s">
        <v>160</v>
      </c>
      <c r="E2684" s="3" t="s">
        <v>4588</v>
      </c>
      <c r="F2684" s="4">
        <v>43795.864583333336</v>
      </c>
      <c r="G2684" s="3"/>
      <c r="H2684" s="3"/>
      <c r="I2684" s="3" t="s">
        <v>7043</v>
      </c>
      <c r="J2684" s="3"/>
      <c r="K2684" s="3"/>
      <c r="L2684" s="5" t="str">
        <f>HYPERLINK("NATIVE_FILES\FOIA-FWS-2020-00724-0002683.atx","FOIA-FWS-2020-00724-0002683.atx")</f>
        <v>FOIA-FWS-2020-00724-0002683.atx</v>
      </c>
    </row>
    <row r="2685" spans="1:12" ht="28.8" x14ac:dyDescent="0.55000000000000004">
      <c r="A2685" s="9" t="str">
        <f>HYPERLINK("PDF\FOIA-FWS-2020-00724-0002684.pdf","FOIA-FWS-2020-00724-0002684")</f>
        <v>FOIA-FWS-2020-00724-0002684</v>
      </c>
      <c r="B2685" s="3" t="s">
        <v>4562</v>
      </c>
      <c r="C2685" s="3" t="s">
        <v>234</v>
      </c>
      <c r="D2685" s="3" t="s">
        <v>160</v>
      </c>
      <c r="E2685" s="3" t="s">
        <v>4589</v>
      </c>
      <c r="F2685" s="4">
        <v>43795.864583333336</v>
      </c>
      <c r="G2685" s="3"/>
      <c r="H2685" s="3"/>
      <c r="I2685" s="3" t="s">
        <v>7043</v>
      </c>
      <c r="J2685" s="3"/>
      <c r="K2685" s="3"/>
      <c r="L2685" s="5" t="str">
        <f>HYPERLINK("NATIVE_FILES\FOIA-FWS-2020-00724-0002684.atx","FOIA-FWS-2020-00724-0002684.atx")</f>
        <v>FOIA-FWS-2020-00724-0002684.atx</v>
      </c>
    </row>
    <row r="2686" spans="1:12" ht="28.8" x14ac:dyDescent="0.55000000000000004">
      <c r="A2686" s="9" t="str">
        <f>HYPERLINK("PDF\FOIA-FWS-2020-00724-0002685.pdf","FOIA-FWS-2020-00724-0002685")</f>
        <v>FOIA-FWS-2020-00724-0002685</v>
      </c>
      <c r="B2686" s="3" t="s">
        <v>4562</v>
      </c>
      <c r="C2686" s="3" t="s">
        <v>234</v>
      </c>
      <c r="D2686" s="3" t="s">
        <v>160</v>
      </c>
      <c r="E2686" s="3" t="s">
        <v>4590</v>
      </c>
      <c r="F2686" s="4">
        <v>43795.864583333336</v>
      </c>
      <c r="G2686" s="3"/>
      <c r="H2686" s="3"/>
      <c r="I2686" s="3" t="s">
        <v>7043</v>
      </c>
      <c r="J2686" s="3"/>
      <c r="K2686" s="3"/>
      <c r="L2686" s="5" t="str">
        <f>HYPERLINK("NATIVE_FILES\FOIA-FWS-2020-00724-0002685.atx","FOIA-FWS-2020-00724-0002685.atx")</f>
        <v>FOIA-FWS-2020-00724-0002685.atx</v>
      </c>
    </row>
    <row r="2687" spans="1:12" ht="28.8" x14ac:dyDescent="0.55000000000000004">
      <c r="A2687" s="9" t="str">
        <f>HYPERLINK("PDF\FOIA-FWS-2020-00724-0002686.pdf","FOIA-FWS-2020-00724-0002686")</f>
        <v>FOIA-FWS-2020-00724-0002686</v>
      </c>
      <c r="B2687" s="3" t="s">
        <v>4562</v>
      </c>
      <c r="C2687" s="3" t="s">
        <v>234</v>
      </c>
      <c r="D2687" s="3" t="s">
        <v>160</v>
      </c>
      <c r="E2687" s="3" t="s">
        <v>4591</v>
      </c>
      <c r="F2687" s="4">
        <v>43795.864583333336</v>
      </c>
      <c r="G2687" s="3"/>
      <c r="H2687" s="3"/>
      <c r="I2687" s="3" t="s">
        <v>7043</v>
      </c>
      <c r="J2687" s="3"/>
      <c r="K2687" s="3"/>
      <c r="L2687" s="5" t="str">
        <f>HYPERLINK("NATIVE_FILES\FOIA-FWS-2020-00724-0002686.gdbindexes","FOIA-FWS-2020-00724-0002686.gdbindexes")</f>
        <v>FOIA-FWS-2020-00724-0002686.gdbindexes</v>
      </c>
    </row>
    <row r="2688" spans="1:12" ht="28.8" x14ac:dyDescent="0.55000000000000004">
      <c r="A2688" s="9" t="str">
        <f>HYPERLINK("PDF\FOIA-FWS-2020-00724-0002687.pdf","FOIA-FWS-2020-00724-0002687")</f>
        <v>FOIA-FWS-2020-00724-0002687</v>
      </c>
      <c r="B2688" s="3" t="s">
        <v>4562</v>
      </c>
      <c r="C2688" s="3" t="s">
        <v>234</v>
      </c>
      <c r="D2688" s="3" t="s">
        <v>160</v>
      </c>
      <c r="E2688" s="3" t="s">
        <v>4592</v>
      </c>
      <c r="F2688" s="4">
        <v>43795.864583333336</v>
      </c>
      <c r="G2688" s="3"/>
      <c r="H2688" s="3"/>
      <c r="I2688" s="3" t="s">
        <v>7043</v>
      </c>
      <c r="J2688" s="3"/>
      <c r="K2688" s="3"/>
      <c r="L2688" s="5" t="str">
        <f>HYPERLINK("NATIVE_FILES\FOIA-FWS-2020-00724-0002687.gdbtable","FOIA-FWS-2020-00724-0002687.gdbtable")</f>
        <v>FOIA-FWS-2020-00724-0002687.gdbtable</v>
      </c>
    </row>
    <row r="2689" spans="1:12" ht="28.8" x14ac:dyDescent="0.55000000000000004">
      <c r="A2689" s="9" t="str">
        <f>HYPERLINK("PDF\FOIA-FWS-2020-00724-0002688.pdf","FOIA-FWS-2020-00724-0002688")</f>
        <v>FOIA-FWS-2020-00724-0002688</v>
      </c>
      <c r="B2689" s="3" t="s">
        <v>4562</v>
      </c>
      <c r="C2689" s="3" t="s">
        <v>234</v>
      </c>
      <c r="D2689" s="3" t="s">
        <v>160</v>
      </c>
      <c r="E2689" s="3" t="s">
        <v>4593</v>
      </c>
      <c r="F2689" s="4">
        <v>43795.864583333336</v>
      </c>
      <c r="G2689" s="3"/>
      <c r="H2689" s="3"/>
      <c r="I2689" s="3" t="s">
        <v>7043</v>
      </c>
      <c r="J2689" s="3"/>
      <c r="K2689" s="3"/>
      <c r="L2689" s="5" t="str">
        <f>HYPERLINK("NATIVE_FILES\FOIA-FWS-2020-00724-0002688.gdbtablx","FOIA-FWS-2020-00724-0002688.gdbtablx")</f>
        <v>FOIA-FWS-2020-00724-0002688.gdbtablx</v>
      </c>
    </row>
    <row r="2690" spans="1:12" ht="28.8" x14ac:dyDescent="0.55000000000000004">
      <c r="A2690" s="9" t="str">
        <f>HYPERLINK("PDF\FOIA-FWS-2020-00724-0002689.pdf","FOIA-FWS-2020-00724-0002689")</f>
        <v>FOIA-FWS-2020-00724-0002689</v>
      </c>
      <c r="B2690" s="3" t="s">
        <v>4562</v>
      </c>
      <c r="C2690" s="3" t="s">
        <v>234</v>
      </c>
      <c r="D2690" s="3" t="s">
        <v>160</v>
      </c>
      <c r="E2690" s="3" t="s">
        <v>4594</v>
      </c>
      <c r="F2690" s="4">
        <v>43795.864583333336</v>
      </c>
      <c r="G2690" s="3"/>
      <c r="H2690" s="3"/>
      <c r="I2690" s="3" t="s">
        <v>7043</v>
      </c>
      <c r="J2690" s="3"/>
      <c r="K2690" s="3"/>
      <c r="L2690" s="5" t="str">
        <f>HYPERLINK("NATIVE_FILES\FOIA-FWS-2020-00724-0002689.atx","FOIA-FWS-2020-00724-0002689.atx")</f>
        <v>FOIA-FWS-2020-00724-0002689.atx</v>
      </c>
    </row>
    <row r="2691" spans="1:12" ht="28.8" x14ac:dyDescent="0.55000000000000004">
      <c r="A2691" s="9" t="str">
        <f>HYPERLINK("PDF\FOIA-FWS-2020-00724-0002690.pdf","FOIA-FWS-2020-00724-0002690")</f>
        <v>FOIA-FWS-2020-00724-0002690</v>
      </c>
      <c r="B2691" s="3" t="s">
        <v>4562</v>
      </c>
      <c r="C2691" s="3" t="s">
        <v>234</v>
      </c>
      <c r="D2691" s="3" t="s">
        <v>160</v>
      </c>
      <c r="E2691" s="3" t="s">
        <v>4595</v>
      </c>
      <c r="F2691" s="4">
        <v>43795.864583333336</v>
      </c>
      <c r="G2691" s="3"/>
      <c r="H2691" s="3"/>
      <c r="I2691" s="3" t="s">
        <v>7043</v>
      </c>
      <c r="J2691" s="3"/>
      <c r="K2691" s="3"/>
      <c r="L2691" s="5" t="str">
        <f>HYPERLINK("NATIVE_FILES\FOIA-FWS-2020-00724-0002690.gdbindexes","FOIA-FWS-2020-00724-0002690.gdbindexes")</f>
        <v>FOIA-FWS-2020-00724-0002690.gdbindexes</v>
      </c>
    </row>
    <row r="2692" spans="1:12" ht="28.8" x14ac:dyDescent="0.55000000000000004">
      <c r="A2692" s="9" t="str">
        <f>HYPERLINK("PDF\FOIA-FWS-2020-00724-0002691.pdf","FOIA-FWS-2020-00724-0002691")</f>
        <v>FOIA-FWS-2020-00724-0002691</v>
      </c>
      <c r="B2692" s="3" t="s">
        <v>4562</v>
      </c>
      <c r="C2692" s="3" t="s">
        <v>234</v>
      </c>
      <c r="D2692" s="3" t="s">
        <v>160</v>
      </c>
      <c r="E2692" s="3" t="s">
        <v>4596</v>
      </c>
      <c r="F2692" s="4">
        <v>43795.864583333336</v>
      </c>
      <c r="G2692" s="3"/>
      <c r="H2692" s="3"/>
      <c r="I2692" s="3" t="s">
        <v>7043</v>
      </c>
      <c r="J2692" s="3"/>
      <c r="K2692" s="3"/>
      <c r="L2692" s="5" t="str">
        <f>HYPERLINK("NATIVE_FILES\FOIA-FWS-2020-00724-0002691.gdbtable","FOIA-FWS-2020-00724-0002691.gdbtable")</f>
        <v>FOIA-FWS-2020-00724-0002691.gdbtable</v>
      </c>
    </row>
    <row r="2693" spans="1:12" ht="28.8" x14ac:dyDescent="0.55000000000000004">
      <c r="A2693" s="9" t="str">
        <f>HYPERLINK("PDF\FOIA-FWS-2020-00724-0002692.pdf","FOIA-FWS-2020-00724-0002692")</f>
        <v>FOIA-FWS-2020-00724-0002692</v>
      </c>
      <c r="B2693" s="3" t="s">
        <v>4562</v>
      </c>
      <c r="C2693" s="3" t="s">
        <v>234</v>
      </c>
      <c r="D2693" s="3" t="s">
        <v>160</v>
      </c>
      <c r="E2693" s="3" t="s">
        <v>4597</v>
      </c>
      <c r="F2693" s="4">
        <v>43795.864583333336</v>
      </c>
      <c r="G2693" s="3"/>
      <c r="H2693" s="3"/>
      <c r="I2693" s="3" t="s">
        <v>7043</v>
      </c>
      <c r="J2693" s="3"/>
      <c r="K2693" s="3"/>
      <c r="L2693" s="5" t="str">
        <f>HYPERLINK("NATIVE_FILES\FOIA-FWS-2020-00724-0002692.gdbtablx","FOIA-FWS-2020-00724-0002692.gdbtablx")</f>
        <v>FOIA-FWS-2020-00724-0002692.gdbtablx</v>
      </c>
    </row>
    <row r="2694" spans="1:12" ht="28.8" x14ac:dyDescent="0.55000000000000004">
      <c r="A2694" s="9" t="str">
        <f>HYPERLINK("PDF\FOIA-FWS-2020-00724-0002693.pdf","FOIA-FWS-2020-00724-0002693")</f>
        <v>FOIA-FWS-2020-00724-0002693</v>
      </c>
      <c r="B2694" s="3" t="s">
        <v>4562</v>
      </c>
      <c r="C2694" s="3" t="s">
        <v>234</v>
      </c>
      <c r="D2694" s="3" t="s">
        <v>160</v>
      </c>
      <c r="E2694" s="3" t="s">
        <v>4598</v>
      </c>
      <c r="F2694" s="4">
        <v>43795.864583333336</v>
      </c>
      <c r="G2694" s="3"/>
      <c r="H2694" s="3"/>
      <c r="I2694" s="3" t="s">
        <v>7043</v>
      </c>
      <c r="J2694" s="3"/>
      <c r="K2694" s="3"/>
      <c r="L2694" s="5" t="str">
        <f>HYPERLINK("NATIVE_FILES\FOIA-FWS-2020-00724-0002693.spx","FOIA-FWS-2020-00724-0002693.spx")</f>
        <v>FOIA-FWS-2020-00724-0002693.spx</v>
      </c>
    </row>
    <row r="2695" spans="1:12" ht="28.8" x14ac:dyDescent="0.55000000000000004">
      <c r="A2695" s="9" t="str">
        <f>HYPERLINK("PDF\FOIA-FWS-2020-00724-0002694.pdf","FOIA-FWS-2020-00724-0002694")</f>
        <v>FOIA-FWS-2020-00724-0002694</v>
      </c>
      <c r="B2695" s="3" t="s">
        <v>4562</v>
      </c>
      <c r="C2695" s="3" t="s">
        <v>234</v>
      </c>
      <c r="D2695" s="3" t="s">
        <v>160</v>
      </c>
      <c r="E2695" s="3" t="s">
        <v>4564</v>
      </c>
      <c r="F2695" s="4">
        <v>43795.864583333336</v>
      </c>
      <c r="G2695" s="3"/>
      <c r="H2695" s="3"/>
      <c r="I2695" s="3" t="s">
        <v>7043</v>
      </c>
      <c r="J2695" s="3"/>
      <c r="K2695" s="3"/>
      <c r="L2695" s="5" t="str">
        <f>HYPERLINK("NATIVE_FILES\FOIA-FWS-2020-00724-0002694.lyrx","FOIA-FWS-2020-00724-0002694.lyrx")</f>
        <v>FOIA-FWS-2020-00724-0002694.lyrx</v>
      </c>
    </row>
    <row r="2696" spans="1:12" ht="28.8" x14ac:dyDescent="0.55000000000000004">
      <c r="A2696" s="9" t="str">
        <f>HYPERLINK("PDF\FOIA-FWS-2020-00724-0002695.pdf","FOIA-FWS-2020-00724-0002695")</f>
        <v>FOIA-FWS-2020-00724-0002695</v>
      </c>
      <c r="B2696" s="3" t="s">
        <v>4562</v>
      </c>
      <c r="C2696" s="3" t="s">
        <v>234</v>
      </c>
      <c r="D2696" s="3" t="s">
        <v>160</v>
      </c>
      <c r="E2696" s="3" t="s">
        <v>4226</v>
      </c>
      <c r="F2696" s="4">
        <v>43795.864583333336</v>
      </c>
      <c r="G2696" s="3"/>
      <c r="H2696" s="3"/>
      <c r="I2696" s="3" t="s">
        <v>7043</v>
      </c>
      <c r="J2696" s="3"/>
      <c r="K2696" s="3"/>
      <c r="L2696" s="5" t="str">
        <f>HYPERLINK("NATIVE_FILES\FOIA-FWS-2020-00724-0002695.gdbindexes","FOIA-FWS-2020-00724-0002695.gdbindexes")</f>
        <v>FOIA-FWS-2020-00724-0002695.gdbindexes</v>
      </c>
    </row>
    <row r="2697" spans="1:12" ht="28.8" x14ac:dyDescent="0.55000000000000004">
      <c r="A2697" s="9" t="str">
        <f>HYPERLINK("PDF\FOIA-FWS-2020-00724-0002696.pdf","FOIA-FWS-2020-00724-0002696")</f>
        <v>FOIA-FWS-2020-00724-0002696</v>
      </c>
      <c r="B2697" s="3" t="s">
        <v>4562</v>
      </c>
      <c r="C2697" s="3" t="s">
        <v>234</v>
      </c>
      <c r="D2697" s="3" t="s">
        <v>160</v>
      </c>
      <c r="E2697" s="3" t="s">
        <v>4227</v>
      </c>
      <c r="F2697" s="4">
        <v>43795.864583333336</v>
      </c>
      <c r="G2697" s="3"/>
      <c r="H2697" s="3"/>
      <c r="I2697" s="3" t="s">
        <v>7043</v>
      </c>
      <c r="J2697" s="3"/>
      <c r="K2697" s="3"/>
      <c r="L2697" s="5" t="str">
        <f>HYPERLINK("NATIVE_FILES\FOIA-FWS-2020-00724-0002696.gdbtable","FOIA-FWS-2020-00724-0002696.gdbtable")</f>
        <v>FOIA-FWS-2020-00724-0002696.gdbtable</v>
      </c>
    </row>
    <row r="2698" spans="1:12" ht="28.8" x14ac:dyDescent="0.55000000000000004">
      <c r="A2698" s="9" t="str">
        <f>HYPERLINK("PDF\FOIA-FWS-2020-00724-0002697.pdf","FOIA-FWS-2020-00724-0002697")</f>
        <v>FOIA-FWS-2020-00724-0002697</v>
      </c>
      <c r="B2698" s="3" t="s">
        <v>4562</v>
      </c>
      <c r="C2698" s="3" t="s">
        <v>234</v>
      </c>
      <c r="D2698" s="3" t="s">
        <v>160</v>
      </c>
      <c r="E2698" s="3" t="s">
        <v>4228</v>
      </c>
      <c r="F2698" s="4">
        <v>43795.864583333336</v>
      </c>
      <c r="G2698" s="3"/>
      <c r="H2698" s="3"/>
      <c r="I2698" s="3" t="s">
        <v>7043</v>
      </c>
      <c r="J2698" s="3"/>
      <c r="K2698" s="3"/>
      <c r="L2698" s="5" t="str">
        <f>HYPERLINK("NATIVE_FILES\FOIA-FWS-2020-00724-0002697.gdbtablx","FOIA-FWS-2020-00724-0002697.gdbtablx")</f>
        <v>FOIA-FWS-2020-00724-0002697.gdbtablx</v>
      </c>
    </row>
    <row r="2699" spans="1:12" ht="28.8" x14ac:dyDescent="0.55000000000000004">
      <c r="A2699" s="9" t="str">
        <f>HYPERLINK("PDF\FOIA-FWS-2020-00724-0002698.pdf","FOIA-FWS-2020-00724-0002698")</f>
        <v>FOIA-FWS-2020-00724-0002698</v>
      </c>
      <c r="B2699" s="3" t="s">
        <v>4562</v>
      </c>
      <c r="C2699" s="3" t="s">
        <v>234</v>
      </c>
      <c r="D2699" s="3" t="s">
        <v>160</v>
      </c>
      <c r="E2699" s="3" t="s">
        <v>4229</v>
      </c>
      <c r="F2699" s="4">
        <v>43795.864583333336</v>
      </c>
      <c r="G2699" s="3"/>
      <c r="H2699" s="3"/>
      <c r="I2699" s="3" t="s">
        <v>7043</v>
      </c>
      <c r="J2699" s="3"/>
      <c r="K2699" s="3"/>
      <c r="L2699" s="5" t="str">
        <f>HYPERLINK("NATIVE_FILES\FOIA-FWS-2020-00724-0002698.atx","FOIA-FWS-2020-00724-0002698.atx")</f>
        <v>FOIA-FWS-2020-00724-0002698.atx</v>
      </c>
    </row>
    <row r="2700" spans="1:12" ht="28.8" x14ac:dyDescent="0.55000000000000004">
      <c r="A2700" s="9" t="str">
        <f>HYPERLINK("PDF\FOIA-FWS-2020-00724-0002699.pdf","FOIA-FWS-2020-00724-0002699")</f>
        <v>FOIA-FWS-2020-00724-0002699</v>
      </c>
      <c r="B2700" s="3" t="s">
        <v>4562</v>
      </c>
      <c r="C2700" s="3" t="s">
        <v>234</v>
      </c>
      <c r="D2700" s="3" t="s">
        <v>160</v>
      </c>
      <c r="E2700" s="3" t="s">
        <v>4230</v>
      </c>
      <c r="F2700" s="4">
        <v>43795.864583333336</v>
      </c>
      <c r="G2700" s="3"/>
      <c r="H2700" s="3"/>
      <c r="I2700" s="3" t="s">
        <v>7043</v>
      </c>
      <c r="J2700" s="3"/>
      <c r="K2700" s="3"/>
      <c r="L2700" s="5" t="str">
        <f>HYPERLINK("NATIVE_FILES\FOIA-FWS-2020-00724-0002699.gdbtable","FOIA-FWS-2020-00724-0002699.gdbtable")</f>
        <v>FOIA-FWS-2020-00724-0002699.gdbtable</v>
      </c>
    </row>
    <row r="2701" spans="1:12" ht="28.8" x14ac:dyDescent="0.55000000000000004">
      <c r="A2701" s="9" t="str">
        <f>HYPERLINK("PDF\FOIA-FWS-2020-00724-0002700.pdf","FOIA-FWS-2020-00724-0002700")</f>
        <v>FOIA-FWS-2020-00724-0002700</v>
      </c>
      <c r="B2701" s="3" t="s">
        <v>4562</v>
      </c>
      <c r="C2701" s="3" t="s">
        <v>234</v>
      </c>
      <c r="D2701" s="3" t="s">
        <v>160</v>
      </c>
      <c r="E2701" s="3" t="s">
        <v>4231</v>
      </c>
      <c r="F2701" s="4">
        <v>43795.864583333336</v>
      </c>
      <c r="G2701" s="3"/>
      <c r="H2701" s="3"/>
      <c r="I2701" s="3" t="s">
        <v>7043</v>
      </c>
      <c r="J2701" s="3"/>
      <c r="K2701" s="3"/>
      <c r="L2701" s="5" t="str">
        <f>HYPERLINK("NATIVE_FILES\FOIA-FWS-2020-00724-0002700.gdbtablx","FOIA-FWS-2020-00724-0002700.gdbtablx")</f>
        <v>FOIA-FWS-2020-00724-0002700.gdbtablx</v>
      </c>
    </row>
    <row r="2702" spans="1:12" ht="28.8" x14ac:dyDescent="0.55000000000000004">
      <c r="A2702" s="9" t="str">
        <f>HYPERLINK("PDF\FOIA-FWS-2020-00724-0002701.pdf","FOIA-FWS-2020-00724-0002701")</f>
        <v>FOIA-FWS-2020-00724-0002701</v>
      </c>
      <c r="B2702" s="3" t="s">
        <v>4562</v>
      </c>
      <c r="C2702" s="3" t="s">
        <v>234</v>
      </c>
      <c r="D2702" s="3" t="s">
        <v>160</v>
      </c>
      <c r="E2702" s="3" t="s">
        <v>4236</v>
      </c>
      <c r="F2702" s="4">
        <v>43795.864583333336</v>
      </c>
      <c r="G2702" s="3"/>
      <c r="H2702" s="3"/>
      <c r="I2702" s="3" t="s">
        <v>7043</v>
      </c>
      <c r="J2702" s="3"/>
      <c r="K2702" s="3"/>
      <c r="L2702" s="5" t="str">
        <f>HYPERLINK("NATIVE_FILES\FOIA-FWS-2020-00724-0002701.gdbindexes","FOIA-FWS-2020-00724-0002701.gdbindexes")</f>
        <v>FOIA-FWS-2020-00724-0002701.gdbindexes</v>
      </c>
    </row>
    <row r="2703" spans="1:12" ht="28.8" x14ac:dyDescent="0.55000000000000004">
      <c r="A2703" s="9" t="str">
        <f>HYPERLINK("PDF\FOIA-FWS-2020-00724-0002702.pdf","FOIA-FWS-2020-00724-0002702")</f>
        <v>FOIA-FWS-2020-00724-0002702</v>
      </c>
      <c r="B2703" s="3" t="s">
        <v>4562</v>
      </c>
      <c r="C2703" s="3" t="s">
        <v>234</v>
      </c>
      <c r="D2703" s="3" t="s">
        <v>160</v>
      </c>
      <c r="E2703" s="3" t="s">
        <v>4237</v>
      </c>
      <c r="F2703" s="4">
        <v>43795.864583333336</v>
      </c>
      <c r="G2703" s="3"/>
      <c r="H2703" s="3"/>
      <c r="I2703" s="3" t="s">
        <v>7043</v>
      </c>
      <c r="J2703" s="3"/>
      <c r="K2703" s="3"/>
      <c r="L2703" s="5" t="str">
        <f>HYPERLINK("NATIVE_FILES\FOIA-FWS-2020-00724-0002702.gdbtable","FOIA-FWS-2020-00724-0002702.gdbtable")</f>
        <v>FOIA-FWS-2020-00724-0002702.gdbtable</v>
      </c>
    </row>
    <row r="2704" spans="1:12" ht="28.8" x14ac:dyDescent="0.55000000000000004">
      <c r="A2704" s="9" t="str">
        <f>HYPERLINK("PDF\FOIA-FWS-2020-00724-0002703.pdf","FOIA-FWS-2020-00724-0002703")</f>
        <v>FOIA-FWS-2020-00724-0002703</v>
      </c>
      <c r="B2704" s="3" t="s">
        <v>4562</v>
      </c>
      <c r="C2704" s="3" t="s">
        <v>234</v>
      </c>
      <c r="D2704" s="3" t="s">
        <v>160</v>
      </c>
      <c r="E2704" s="3" t="s">
        <v>4238</v>
      </c>
      <c r="F2704" s="4">
        <v>43795.864583333336</v>
      </c>
      <c r="G2704" s="3"/>
      <c r="H2704" s="3"/>
      <c r="I2704" s="3" t="s">
        <v>7043</v>
      </c>
      <c r="J2704" s="3"/>
      <c r="K2704" s="3"/>
      <c r="L2704" s="5" t="str">
        <f>HYPERLINK("NATIVE_FILES\FOIA-FWS-2020-00724-0002703.gdbtablx","FOIA-FWS-2020-00724-0002703.gdbtablx")</f>
        <v>FOIA-FWS-2020-00724-0002703.gdbtablx</v>
      </c>
    </row>
    <row r="2705" spans="1:12" ht="28.8" x14ac:dyDescent="0.55000000000000004">
      <c r="A2705" s="9" t="str">
        <f>HYPERLINK("PDF\FOIA-FWS-2020-00724-0002704.pdf","FOIA-FWS-2020-00724-0002704")</f>
        <v>FOIA-FWS-2020-00724-0002704</v>
      </c>
      <c r="B2705" s="3" t="s">
        <v>4562</v>
      </c>
      <c r="C2705" s="3" t="s">
        <v>234</v>
      </c>
      <c r="D2705" s="3" t="s">
        <v>160</v>
      </c>
      <c r="E2705" s="3" t="s">
        <v>4565</v>
      </c>
      <c r="F2705" s="4">
        <v>43795.864583333336</v>
      </c>
      <c r="G2705" s="3"/>
      <c r="H2705" s="3"/>
      <c r="I2705" s="3" t="s">
        <v>7043</v>
      </c>
      <c r="J2705" s="3"/>
      <c r="K2705" s="3"/>
      <c r="L2705" s="5" t="str">
        <f>HYPERLINK("NATIVE_FILES\FOIA-FWS-2020-00724-0002704.atx","FOIA-FWS-2020-00724-0002704.atx")</f>
        <v>FOIA-FWS-2020-00724-0002704.atx</v>
      </c>
    </row>
    <row r="2706" spans="1:12" ht="28.8" x14ac:dyDescent="0.55000000000000004">
      <c r="A2706" s="9" t="str">
        <f>HYPERLINK("PDF\FOIA-FWS-2020-00724-0002705.pdf","FOIA-FWS-2020-00724-0002705")</f>
        <v>FOIA-FWS-2020-00724-0002705</v>
      </c>
      <c r="B2706" s="3" t="s">
        <v>4562</v>
      </c>
      <c r="C2706" s="3" t="s">
        <v>234</v>
      </c>
      <c r="D2706" s="3" t="s">
        <v>160</v>
      </c>
      <c r="E2706" s="3" t="s">
        <v>4566</v>
      </c>
      <c r="F2706" s="4">
        <v>43795.864583333336</v>
      </c>
      <c r="G2706" s="3"/>
      <c r="H2706" s="3"/>
      <c r="I2706" s="3" t="s">
        <v>7043</v>
      </c>
      <c r="J2706" s="3"/>
      <c r="K2706" s="3"/>
      <c r="L2706" s="5" t="str">
        <f>HYPERLINK("NATIVE_FILES\FOIA-FWS-2020-00724-0002705.atx","FOIA-FWS-2020-00724-0002705.atx")</f>
        <v>FOIA-FWS-2020-00724-0002705.atx</v>
      </c>
    </row>
    <row r="2707" spans="1:12" ht="28.8" x14ac:dyDescent="0.55000000000000004">
      <c r="A2707" s="9" t="str">
        <f>HYPERLINK("PDF\FOIA-FWS-2020-00724-0002706.pdf","FOIA-FWS-2020-00724-0002706")</f>
        <v>FOIA-FWS-2020-00724-0002706</v>
      </c>
      <c r="B2707" s="3" t="s">
        <v>4562</v>
      </c>
      <c r="C2707" s="3" t="s">
        <v>234</v>
      </c>
      <c r="D2707" s="3" t="s">
        <v>160</v>
      </c>
      <c r="E2707" s="3" t="s">
        <v>4567</v>
      </c>
      <c r="F2707" s="4">
        <v>43795.864583333336</v>
      </c>
      <c r="G2707" s="3"/>
      <c r="H2707" s="3"/>
      <c r="I2707" s="3" t="s">
        <v>7043</v>
      </c>
      <c r="J2707" s="3"/>
      <c r="K2707" s="3"/>
      <c r="L2707" s="5" t="str">
        <f>HYPERLINK("NATIVE_FILES\FOIA-FWS-2020-00724-0002706.atx","FOIA-FWS-2020-00724-0002706.atx")</f>
        <v>FOIA-FWS-2020-00724-0002706.atx</v>
      </c>
    </row>
    <row r="2708" spans="1:12" ht="28.8" x14ac:dyDescent="0.55000000000000004">
      <c r="A2708" s="9" t="str">
        <f>HYPERLINK("PDF\FOIA-FWS-2020-00724-0002707.pdf","FOIA-FWS-2020-00724-0002707")</f>
        <v>FOIA-FWS-2020-00724-0002707</v>
      </c>
      <c r="B2708" s="3" t="s">
        <v>4562</v>
      </c>
      <c r="C2708" s="3" t="s">
        <v>234</v>
      </c>
      <c r="D2708" s="3" t="s">
        <v>160</v>
      </c>
      <c r="E2708" s="3" t="s">
        <v>4568</v>
      </c>
      <c r="F2708" s="4">
        <v>43795.864583333336</v>
      </c>
      <c r="G2708" s="3"/>
      <c r="H2708" s="3"/>
      <c r="I2708" s="3" t="s">
        <v>7043</v>
      </c>
      <c r="J2708" s="3"/>
      <c r="K2708" s="3"/>
      <c r="L2708" s="5" t="str">
        <f>HYPERLINK("NATIVE_FILES\FOIA-FWS-2020-00724-0002707.gdbindexes","FOIA-FWS-2020-00724-0002707.gdbindexes")</f>
        <v>FOIA-FWS-2020-00724-0002707.gdbindexes</v>
      </c>
    </row>
    <row r="2709" spans="1:12" ht="28.8" x14ac:dyDescent="0.55000000000000004">
      <c r="A2709" s="9" t="str">
        <f>HYPERLINK("PDF\FOIA-FWS-2020-00724-0002708.pdf","FOIA-FWS-2020-00724-0002708")</f>
        <v>FOIA-FWS-2020-00724-0002708</v>
      </c>
      <c r="B2709" s="3" t="s">
        <v>4562</v>
      </c>
      <c r="C2709" s="3" t="s">
        <v>234</v>
      </c>
      <c r="D2709" s="3" t="s">
        <v>160</v>
      </c>
      <c r="E2709" s="3" t="s">
        <v>4569</v>
      </c>
      <c r="F2709" s="4">
        <v>43795.864583333336</v>
      </c>
      <c r="G2709" s="3"/>
      <c r="H2709" s="3"/>
      <c r="I2709" s="3" t="s">
        <v>7043</v>
      </c>
      <c r="J2709" s="3"/>
      <c r="K2709" s="3"/>
      <c r="L2709" s="5" t="str">
        <f>HYPERLINK("NATIVE_FILES\FOIA-FWS-2020-00724-0002708.gdbtable","FOIA-FWS-2020-00724-0002708.gdbtable")</f>
        <v>FOIA-FWS-2020-00724-0002708.gdbtable</v>
      </c>
    </row>
    <row r="2710" spans="1:12" ht="28.8" x14ac:dyDescent="0.55000000000000004">
      <c r="A2710" s="9" t="str">
        <f>HYPERLINK("PDF\FOIA-FWS-2020-00724-0002709.pdf","FOIA-FWS-2020-00724-0002709")</f>
        <v>FOIA-FWS-2020-00724-0002709</v>
      </c>
      <c r="B2710" s="3" t="s">
        <v>4562</v>
      </c>
      <c r="C2710" s="3" t="s">
        <v>234</v>
      </c>
      <c r="D2710" s="3" t="s">
        <v>160</v>
      </c>
      <c r="E2710" s="3" t="s">
        <v>4570</v>
      </c>
      <c r="F2710" s="4">
        <v>43795.864583333336</v>
      </c>
      <c r="G2710" s="3"/>
      <c r="H2710" s="3"/>
      <c r="I2710" s="3" t="s">
        <v>7043</v>
      </c>
      <c r="J2710" s="3"/>
      <c r="K2710" s="3"/>
      <c r="L2710" s="5" t="str">
        <f>HYPERLINK("NATIVE_FILES\FOIA-FWS-2020-00724-0002709.gdbtablx","FOIA-FWS-2020-00724-0002709.gdbtablx")</f>
        <v>FOIA-FWS-2020-00724-0002709.gdbtablx</v>
      </c>
    </row>
    <row r="2711" spans="1:12" ht="28.8" x14ac:dyDescent="0.55000000000000004">
      <c r="A2711" s="9" t="str">
        <f>HYPERLINK("PDF\FOIA-FWS-2020-00724-0002710.pdf","FOIA-FWS-2020-00724-0002710")</f>
        <v>FOIA-FWS-2020-00724-0002710</v>
      </c>
      <c r="B2711" s="3" t="s">
        <v>4562</v>
      </c>
      <c r="C2711" s="3" t="s">
        <v>234</v>
      </c>
      <c r="D2711" s="3" t="s">
        <v>160</v>
      </c>
      <c r="E2711" s="3" t="s">
        <v>4571</v>
      </c>
      <c r="F2711" s="4">
        <v>43795.864583333336</v>
      </c>
      <c r="G2711" s="3"/>
      <c r="H2711" s="3"/>
      <c r="I2711" s="3" t="s">
        <v>7043</v>
      </c>
      <c r="J2711" s="3"/>
      <c r="K2711" s="3"/>
      <c r="L2711" s="5" t="str">
        <f>HYPERLINK("NATIVE_FILES\FOIA-FWS-2020-00724-0002710.spx","FOIA-FWS-2020-00724-0002710.spx")</f>
        <v>FOIA-FWS-2020-00724-0002710.spx</v>
      </c>
    </row>
    <row r="2712" spans="1:12" ht="28.8" x14ac:dyDescent="0.55000000000000004">
      <c r="A2712" s="9" t="str">
        <f>HYPERLINK("PDF\FOIA-FWS-2020-00724-0002711.pdf","FOIA-FWS-2020-00724-0002711")</f>
        <v>FOIA-FWS-2020-00724-0002711</v>
      </c>
      <c r="B2712" s="3" t="s">
        <v>4562</v>
      </c>
      <c r="C2712" s="3" t="s">
        <v>234</v>
      </c>
      <c r="D2712" s="3" t="s">
        <v>160</v>
      </c>
      <c r="E2712" s="3" t="s">
        <v>4572</v>
      </c>
      <c r="F2712" s="4">
        <v>43795.864583333336</v>
      </c>
      <c r="G2712" s="3"/>
      <c r="H2712" s="3"/>
      <c r="I2712" s="3" t="s">
        <v>7043</v>
      </c>
      <c r="J2712" s="3"/>
      <c r="K2712" s="3"/>
      <c r="L2712" s="5" t="str">
        <f>HYPERLINK("NATIVE_FILES\FOIA-FWS-2020-00724-0002711.atx","FOIA-FWS-2020-00724-0002711.atx")</f>
        <v>FOIA-FWS-2020-00724-0002711.atx</v>
      </c>
    </row>
    <row r="2713" spans="1:12" ht="28.8" x14ac:dyDescent="0.55000000000000004">
      <c r="A2713" s="9" t="str">
        <f>HYPERLINK("PDF\FOIA-FWS-2020-00724-0002712.pdf","FOIA-FWS-2020-00724-0002712")</f>
        <v>FOIA-FWS-2020-00724-0002712</v>
      </c>
      <c r="B2713" s="3" t="s">
        <v>4562</v>
      </c>
      <c r="C2713" s="3" t="s">
        <v>234</v>
      </c>
      <c r="D2713" s="3" t="s">
        <v>160</v>
      </c>
      <c r="E2713" s="3" t="s">
        <v>4573</v>
      </c>
      <c r="F2713" s="4">
        <v>43795.864583333336</v>
      </c>
      <c r="G2713" s="3"/>
      <c r="H2713" s="3"/>
      <c r="I2713" s="3" t="s">
        <v>7043</v>
      </c>
      <c r="J2713" s="3"/>
      <c r="K2713" s="3"/>
      <c r="L2713" s="5" t="str">
        <f>HYPERLINK("NATIVE_FILES\FOIA-FWS-2020-00724-0002712.atx","FOIA-FWS-2020-00724-0002712.atx")</f>
        <v>FOIA-FWS-2020-00724-0002712.atx</v>
      </c>
    </row>
    <row r="2714" spans="1:12" ht="28.8" x14ac:dyDescent="0.55000000000000004">
      <c r="A2714" s="9" t="str">
        <f>HYPERLINK("PDF\FOIA-FWS-2020-00724-0002713.pdf","FOIA-FWS-2020-00724-0002713")</f>
        <v>FOIA-FWS-2020-00724-0002713</v>
      </c>
      <c r="B2714" s="3" t="s">
        <v>4562</v>
      </c>
      <c r="C2714" s="3" t="s">
        <v>234</v>
      </c>
      <c r="D2714" s="3" t="s">
        <v>160</v>
      </c>
      <c r="E2714" s="3" t="s">
        <v>4574</v>
      </c>
      <c r="F2714" s="4">
        <v>43795.864583333336</v>
      </c>
      <c r="G2714" s="3"/>
      <c r="H2714" s="3"/>
      <c r="I2714" s="3" t="s">
        <v>7043</v>
      </c>
      <c r="J2714" s="3"/>
      <c r="K2714" s="3"/>
      <c r="L2714" s="5" t="str">
        <f>HYPERLINK("NATIVE_FILES\FOIA-FWS-2020-00724-0002713.atx","FOIA-FWS-2020-00724-0002713.atx")</f>
        <v>FOIA-FWS-2020-00724-0002713.atx</v>
      </c>
    </row>
    <row r="2715" spans="1:12" ht="28.8" x14ac:dyDescent="0.55000000000000004">
      <c r="A2715" s="9" t="str">
        <f>HYPERLINK("PDF\FOIA-FWS-2020-00724-0002714.pdf","FOIA-FWS-2020-00724-0002714")</f>
        <v>FOIA-FWS-2020-00724-0002714</v>
      </c>
      <c r="B2715" s="3" t="s">
        <v>4562</v>
      </c>
      <c r="C2715" s="3" t="s">
        <v>234</v>
      </c>
      <c r="D2715" s="3" t="s">
        <v>160</v>
      </c>
      <c r="E2715" s="3" t="s">
        <v>4575</v>
      </c>
      <c r="F2715" s="4">
        <v>43795.864583333336</v>
      </c>
      <c r="G2715" s="3"/>
      <c r="H2715" s="3"/>
      <c r="I2715" s="3" t="s">
        <v>7043</v>
      </c>
      <c r="J2715" s="3"/>
      <c r="K2715" s="3"/>
      <c r="L2715" s="5" t="str">
        <f>HYPERLINK("NATIVE_FILES\FOIA-FWS-2020-00724-0002714.gdbindexes","FOIA-FWS-2020-00724-0002714.gdbindexes")</f>
        <v>FOIA-FWS-2020-00724-0002714.gdbindexes</v>
      </c>
    </row>
    <row r="2716" spans="1:12" ht="28.8" x14ac:dyDescent="0.55000000000000004">
      <c r="A2716" s="9" t="str">
        <f>HYPERLINK("PDF\FOIA-FWS-2020-00724-0002715.pdf","FOIA-FWS-2020-00724-0002715")</f>
        <v>FOIA-FWS-2020-00724-0002715</v>
      </c>
      <c r="B2716" s="3" t="s">
        <v>4562</v>
      </c>
      <c r="C2716" s="3" t="s">
        <v>234</v>
      </c>
      <c r="D2716" s="3" t="s">
        <v>160</v>
      </c>
      <c r="E2716" s="3" t="s">
        <v>4576</v>
      </c>
      <c r="F2716" s="4">
        <v>43795.864583333336</v>
      </c>
      <c r="G2716" s="3"/>
      <c r="H2716" s="3"/>
      <c r="I2716" s="3" t="s">
        <v>7043</v>
      </c>
      <c r="J2716" s="3"/>
      <c r="K2716" s="3"/>
      <c r="L2716" s="5" t="str">
        <f>HYPERLINK("NATIVE_FILES\FOIA-FWS-2020-00724-0002715.gdbtable","FOIA-FWS-2020-00724-0002715.gdbtable")</f>
        <v>FOIA-FWS-2020-00724-0002715.gdbtable</v>
      </c>
    </row>
    <row r="2717" spans="1:12" ht="28.8" x14ac:dyDescent="0.55000000000000004">
      <c r="A2717" s="9" t="str">
        <f>HYPERLINK("PDF\FOIA-FWS-2020-00724-0002716.pdf","FOIA-FWS-2020-00724-0002716")</f>
        <v>FOIA-FWS-2020-00724-0002716</v>
      </c>
      <c r="B2717" s="3" t="s">
        <v>4562</v>
      </c>
      <c r="C2717" s="3" t="s">
        <v>234</v>
      </c>
      <c r="D2717" s="3" t="s">
        <v>160</v>
      </c>
      <c r="E2717" s="3" t="s">
        <v>4577</v>
      </c>
      <c r="F2717" s="4">
        <v>43795.864583333336</v>
      </c>
      <c r="G2717" s="3"/>
      <c r="H2717" s="3"/>
      <c r="I2717" s="3" t="s">
        <v>7043</v>
      </c>
      <c r="J2717" s="3"/>
      <c r="K2717" s="3"/>
      <c r="L2717" s="5" t="str">
        <f>HYPERLINK("NATIVE_FILES\FOIA-FWS-2020-00724-0002716.gdbtablx","FOIA-FWS-2020-00724-0002716.gdbtablx")</f>
        <v>FOIA-FWS-2020-00724-0002716.gdbtablx</v>
      </c>
    </row>
    <row r="2718" spans="1:12" ht="28.8" x14ac:dyDescent="0.55000000000000004">
      <c r="A2718" s="9" t="str">
        <f>HYPERLINK("PDF\FOIA-FWS-2020-00724-0002717.pdf","FOIA-FWS-2020-00724-0002717")</f>
        <v>FOIA-FWS-2020-00724-0002717</v>
      </c>
      <c r="B2718" s="3" t="s">
        <v>4562</v>
      </c>
      <c r="C2718" s="3" t="s">
        <v>234</v>
      </c>
      <c r="D2718" s="3" t="s">
        <v>160</v>
      </c>
      <c r="E2718" s="3" t="s">
        <v>4578</v>
      </c>
      <c r="F2718" s="4">
        <v>43795.864583333336</v>
      </c>
      <c r="G2718" s="3"/>
      <c r="H2718" s="3"/>
      <c r="I2718" s="3" t="s">
        <v>7043</v>
      </c>
      <c r="J2718" s="3"/>
      <c r="K2718" s="3"/>
      <c r="L2718" s="5" t="str">
        <f>HYPERLINK("NATIVE_FILES\FOIA-FWS-2020-00724-0002717.atx","FOIA-FWS-2020-00724-0002717.atx")</f>
        <v>FOIA-FWS-2020-00724-0002717.atx</v>
      </c>
    </row>
    <row r="2719" spans="1:12" ht="28.8" x14ac:dyDescent="0.55000000000000004">
      <c r="A2719" s="9" t="str">
        <f>HYPERLINK("PDF\FOIA-FWS-2020-00724-0002718.pdf","FOIA-FWS-2020-00724-0002718")</f>
        <v>FOIA-FWS-2020-00724-0002718</v>
      </c>
      <c r="B2719" s="3" t="s">
        <v>4562</v>
      </c>
      <c r="C2719" s="3" t="s">
        <v>234</v>
      </c>
      <c r="D2719" s="3" t="s">
        <v>160</v>
      </c>
      <c r="E2719" s="3" t="s">
        <v>4579</v>
      </c>
      <c r="F2719" s="4">
        <v>43795.864583333336</v>
      </c>
      <c r="G2719" s="3"/>
      <c r="H2719" s="3"/>
      <c r="I2719" s="3" t="s">
        <v>7043</v>
      </c>
      <c r="J2719" s="3"/>
      <c r="K2719" s="3"/>
      <c r="L2719" s="5" t="str">
        <f>HYPERLINK("NATIVE_FILES\FOIA-FWS-2020-00724-0002718.atx","FOIA-FWS-2020-00724-0002718.atx")</f>
        <v>FOIA-FWS-2020-00724-0002718.atx</v>
      </c>
    </row>
    <row r="2720" spans="1:12" ht="28.8" x14ac:dyDescent="0.55000000000000004">
      <c r="A2720" s="9" t="str">
        <f>HYPERLINK("PDF\FOIA-FWS-2020-00724-0002719.pdf","FOIA-FWS-2020-00724-0002719")</f>
        <v>FOIA-FWS-2020-00724-0002719</v>
      </c>
      <c r="B2720" s="3" t="s">
        <v>4562</v>
      </c>
      <c r="C2720" s="3" t="s">
        <v>234</v>
      </c>
      <c r="D2720" s="3" t="s">
        <v>160</v>
      </c>
      <c r="E2720" s="3" t="s">
        <v>4580</v>
      </c>
      <c r="F2720" s="4">
        <v>43795.864583333336</v>
      </c>
      <c r="G2720" s="3"/>
      <c r="H2720" s="3"/>
      <c r="I2720" s="3" t="s">
        <v>7043</v>
      </c>
      <c r="J2720" s="3"/>
      <c r="K2720" s="3"/>
      <c r="L2720" s="5" t="str">
        <f>HYPERLINK("NATIVE_FILES\FOIA-FWS-2020-00724-0002719.atx","FOIA-FWS-2020-00724-0002719.atx")</f>
        <v>FOIA-FWS-2020-00724-0002719.atx</v>
      </c>
    </row>
    <row r="2721" spans="1:12" ht="28.8" x14ac:dyDescent="0.55000000000000004">
      <c r="A2721" s="9" t="str">
        <f>HYPERLINK("PDF\FOIA-FWS-2020-00724-0002720.pdf","FOIA-FWS-2020-00724-0002720")</f>
        <v>FOIA-FWS-2020-00724-0002720</v>
      </c>
      <c r="B2721" s="3" t="s">
        <v>4562</v>
      </c>
      <c r="C2721" s="3" t="s">
        <v>234</v>
      </c>
      <c r="D2721" s="3" t="s">
        <v>160</v>
      </c>
      <c r="E2721" s="3" t="s">
        <v>4581</v>
      </c>
      <c r="F2721" s="4">
        <v>43795.864583333336</v>
      </c>
      <c r="G2721" s="3"/>
      <c r="H2721" s="3"/>
      <c r="I2721" s="3" t="s">
        <v>7043</v>
      </c>
      <c r="J2721" s="3"/>
      <c r="K2721" s="3"/>
      <c r="L2721" s="5" t="str">
        <f>HYPERLINK("NATIVE_FILES\FOIA-FWS-2020-00724-0002720.atx","FOIA-FWS-2020-00724-0002720.atx")</f>
        <v>FOIA-FWS-2020-00724-0002720.atx</v>
      </c>
    </row>
    <row r="2722" spans="1:12" ht="28.8" x14ac:dyDescent="0.55000000000000004">
      <c r="A2722" s="9" t="str">
        <f>HYPERLINK("PDF\FOIA-FWS-2020-00724-0002721.pdf","FOIA-FWS-2020-00724-0002721")</f>
        <v>FOIA-FWS-2020-00724-0002721</v>
      </c>
      <c r="B2722" s="3" t="s">
        <v>4562</v>
      </c>
      <c r="C2722" s="3" t="s">
        <v>234</v>
      </c>
      <c r="D2722" s="3" t="s">
        <v>160</v>
      </c>
      <c r="E2722" s="3" t="s">
        <v>4582</v>
      </c>
      <c r="F2722" s="4">
        <v>43795.864583333336</v>
      </c>
      <c r="G2722" s="3"/>
      <c r="H2722" s="3"/>
      <c r="I2722" s="3" t="s">
        <v>7043</v>
      </c>
      <c r="J2722" s="3"/>
      <c r="K2722" s="3"/>
      <c r="L2722" s="5" t="str">
        <f>HYPERLINK("NATIVE_FILES\FOIA-FWS-2020-00724-0002721.gdbindexes","FOIA-FWS-2020-00724-0002721.gdbindexes")</f>
        <v>FOIA-FWS-2020-00724-0002721.gdbindexes</v>
      </c>
    </row>
    <row r="2723" spans="1:12" ht="28.8" x14ac:dyDescent="0.55000000000000004">
      <c r="A2723" s="9" t="str">
        <f>HYPERLINK("PDF\FOIA-FWS-2020-00724-0002722.pdf","FOIA-FWS-2020-00724-0002722")</f>
        <v>FOIA-FWS-2020-00724-0002722</v>
      </c>
      <c r="B2723" s="3" t="s">
        <v>4562</v>
      </c>
      <c r="C2723" s="3" t="s">
        <v>234</v>
      </c>
      <c r="D2723" s="3" t="s">
        <v>160</v>
      </c>
      <c r="E2723" s="3" t="s">
        <v>4583</v>
      </c>
      <c r="F2723" s="4">
        <v>43795.864583333336</v>
      </c>
      <c r="G2723" s="3"/>
      <c r="H2723" s="3"/>
      <c r="I2723" s="3" t="s">
        <v>7043</v>
      </c>
      <c r="J2723" s="3"/>
      <c r="K2723" s="3"/>
      <c r="L2723" s="5" t="str">
        <f>HYPERLINK("NATIVE_FILES\FOIA-FWS-2020-00724-0002722.gdbtable","FOIA-FWS-2020-00724-0002722.gdbtable")</f>
        <v>FOIA-FWS-2020-00724-0002722.gdbtable</v>
      </c>
    </row>
    <row r="2724" spans="1:12" ht="28.8" x14ac:dyDescent="0.55000000000000004">
      <c r="A2724" s="9" t="str">
        <f>HYPERLINK("PDF\FOIA-FWS-2020-00724-0002723.pdf","FOIA-FWS-2020-00724-0002723")</f>
        <v>FOIA-FWS-2020-00724-0002723</v>
      </c>
      <c r="B2724" s="3" t="s">
        <v>4562</v>
      </c>
      <c r="C2724" s="3" t="s">
        <v>234</v>
      </c>
      <c r="D2724" s="3" t="s">
        <v>160</v>
      </c>
      <c r="E2724" s="3" t="s">
        <v>4584</v>
      </c>
      <c r="F2724" s="4">
        <v>43795.864583333336</v>
      </c>
      <c r="G2724" s="3"/>
      <c r="H2724" s="3"/>
      <c r="I2724" s="3" t="s">
        <v>7043</v>
      </c>
      <c r="J2724" s="3"/>
      <c r="K2724" s="3"/>
      <c r="L2724" s="5" t="str">
        <f>HYPERLINK("NATIVE_FILES\FOIA-FWS-2020-00724-0002723.gdbtablx","FOIA-FWS-2020-00724-0002723.gdbtablx")</f>
        <v>FOIA-FWS-2020-00724-0002723.gdbtablx</v>
      </c>
    </row>
    <row r="2725" spans="1:12" ht="28.8" x14ac:dyDescent="0.55000000000000004">
      <c r="A2725" s="9" t="str">
        <f>HYPERLINK("PDF\FOIA-FWS-2020-00724-0002724.pdf","FOIA-FWS-2020-00724-0002724")</f>
        <v>FOIA-FWS-2020-00724-0002724</v>
      </c>
      <c r="B2725" s="3" t="s">
        <v>4562</v>
      </c>
      <c r="C2725" s="3" t="s">
        <v>234</v>
      </c>
      <c r="D2725" s="3" t="s">
        <v>160</v>
      </c>
      <c r="E2725" s="3" t="s">
        <v>4585</v>
      </c>
      <c r="F2725" s="4">
        <v>43795.864583333336</v>
      </c>
      <c r="G2725" s="3"/>
      <c r="H2725" s="3"/>
      <c r="I2725" s="3" t="s">
        <v>7043</v>
      </c>
      <c r="J2725" s="3"/>
      <c r="K2725" s="3"/>
      <c r="L2725" s="5" t="str">
        <f>HYPERLINK("NATIVE_FILES\FOIA-FWS-2020-00724-0002724.atx","FOIA-FWS-2020-00724-0002724.atx")</f>
        <v>FOIA-FWS-2020-00724-0002724.atx</v>
      </c>
    </row>
    <row r="2726" spans="1:12" ht="28.8" x14ac:dyDescent="0.55000000000000004">
      <c r="A2726" s="9" t="str">
        <f>HYPERLINK("PDF\FOIA-FWS-2020-00724-0002725.pdf","FOIA-FWS-2020-00724-0002725")</f>
        <v>FOIA-FWS-2020-00724-0002725</v>
      </c>
      <c r="B2726" s="3" t="s">
        <v>4562</v>
      </c>
      <c r="C2726" s="3" t="s">
        <v>234</v>
      </c>
      <c r="D2726" s="3" t="s">
        <v>160</v>
      </c>
      <c r="E2726" s="3" t="s">
        <v>4586</v>
      </c>
      <c r="F2726" s="4">
        <v>43795.864583333336</v>
      </c>
      <c r="G2726" s="3"/>
      <c r="H2726" s="3"/>
      <c r="I2726" s="3" t="s">
        <v>7043</v>
      </c>
      <c r="J2726" s="3"/>
      <c r="K2726" s="3"/>
      <c r="L2726" s="5" t="str">
        <f>HYPERLINK("NATIVE_FILES\FOIA-FWS-2020-00724-0002725.atx","FOIA-FWS-2020-00724-0002725.atx")</f>
        <v>FOIA-FWS-2020-00724-0002725.atx</v>
      </c>
    </row>
    <row r="2727" spans="1:12" ht="28.8" x14ac:dyDescent="0.55000000000000004">
      <c r="A2727" s="9" t="str">
        <f>HYPERLINK("PDF\FOIA-FWS-2020-00724-0002726.pdf","FOIA-FWS-2020-00724-0002726")</f>
        <v>FOIA-FWS-2020-00724-0002726</v>
      </c>
      <c r="B2727" s="3" t="s">
        <v>4562</v>
      </c>
      <c r="C2727" s="3" t="s">
        <v>234</v>
      </c>
      <c r="D2727" s="3" t="s">
        <v>160</v>
      </c>
      <c r="E2727" s="3" t="s">
        <v>4587</v>
      </c>
      <c r="F2727" s="4">
        <v>43795.864583333336</v>
      </c>
      <c r="G2727" s="3"/>
      <c r="H2727" s="3"/>
      <c r="I2727" s="3" t="s">
        <v>7043</v>
      </c>
      <c r="J2727" s="3"/>
      <c r="K2727" s="3"/>
      <c r="L2727" s="5" t="str">
        <f>HYPERLINK("NATIVE_FILES\FOIA-FWS-2020-00724-0002726.atx","FOIA-FWS-2020-00724-0002726.atx")</f>
        <v>FOIA-FWS-2020-00724-0002726.atx</v>
      </c>
    </row>
    <row r="2728" spans="1:12" ht="28.8" x14ac:dyDescent="0.55000000000000004">
      <c r="A2728" s="9" t="str">
        <f>HYPERLINK("PDF\FOIA-FWS-2020-00724-0002727.pdf","FOIA-FWS-2020-00724-0002727")</f>
        <v>FOIA-FWS-2020-00724-0002727</v>
      </c>
      <c r="B2728" s="3" t="s">
        <v>4562</v>
      </c>
      <c r="C2728" s="3" t="s">
        <v>234</v>
      </c>
      <c r="D2728" s="3" t="s">
        <v>160</v>
      </c>
      <c r="E2728" s="3" t="s">
        <v>4588</v>
      </c>
      <c r="F2728" s="4">
        <v>43795.864583333336</v>
      </c>
      <c r="G2728" s="3"/>
      <c r="H2728" s="3"/>
      <c r="I2728" s="3" t="s">
        <v>7043</v>
      </c>
      <c r="J2728" s="3"/>
      <c r="K2728" s="3"/>
      <c r="L2728" s="5" t="str">
        <f>HYPERLINK("NATIVE_FILES\FOIA-FWS-2020-00724-0002727.atx","FOIA-FWS-2020-00724-0002727.atx")</f>
        <v>FOIA-FWS-2020-00724-0002727.atx</v>
      </c>
    </row>
    <row r="2729" spans="1:12" ht="28.8" x14ac:dyDescent="0.55000000000000004">
      <c r="A2729" s="9" t="str">
        <f>HYPERLINK("PDF\FOIA-FWS-2020-00724-0002728.pdf","FOIA-FWS-2020-00724-0002728")</f>
        <v>FOIA-FWS-2020-00724-0002728</v>
      </c>
      <c r="B2729" s="3" t="s">
        <v>4562</v>
      </c>
      <c r="C2729" s="3" t="s">
        <v>234</v>
      </c>
      <c r="D2729" s="3" t="s">
        <v>160</v>
      </c>
      <c r="E2729" s="3" t="s">
        <v>4589</v>
      </c>
      <c r="F2729" s="4">
        <v>43795.864583333336</v>
      </c>
      <c r="G2729" s="3"/>
      <c r="H2729" s="3"/>
      <c r="I2729" s="3" t="s">
        <v>7043</v>
      </c>
      <c r="J2729" s="3"/>
      <c r="K2729" s="3"/>
      <c r="L2729" s="5" t="str">
        <f>HYPERLINK("NATIVE_FILES\FOIA-FWS-2020-00724-0002728.atx","FOIA-FWS-2020-00724-0002728.atx")</f>
        <v>FOIA-FWS-2020-00724-0002728.atx</v>
      </c>
    </row>
    <row r="2730" spans="1:12" ht="28.8" x14ac:dyDescent="0.55000000000000004">
      <c r="A2730" s="9" t="str">
        <f>HYPERLINK("PDF\FOIA-FWS-2020-00724-0002729.pdf","FOIA-FWS-2020-00724-0002729")</f>
        <v>FOIA-FWS-2020-00724-0002729</v>
      </c>
      <c r="B2730" s="3" t="s">
        <v>4562</v>
      </c>
      <c r="C2730" s="3" t="s">
        <v>234</v>
      </c>
      <c r="D2730" s="3" t="s">
        <v>160</v>
      </c>
      <c r="E2730" s="3" t="s">
        <v>4590</v>
      </c>
      <c r="F2730" s="4">
        <v>43795.864583333336</v>
      </c>
      <c r="G2730" s="3"/>
      <c r="H2730" s="3"/>
      <c r="I2730" s="3" t="s">
        <v>7043</v>
      </c>
      <c r="J2730" s="3"/>
      <c r="K2730" s="3"/>
      <c r="L2730" s="5" t="str">
        <f>HYPERLINK("NATIVE_FILES\FOIA-FWS-2020-00724-0002729.atx","FOIA-FWS-2020-00724-0002729.atx")</f>
        <v>FOIA-FWS-2020-00724-0002729.atx</v>
      </c>
    </row>
    <row r="2731" spans="1:12" ht="28.8" x14ac:dyDescent="0.55000000000000004">
      <c r="A2731" s="9" t="str">
        <f>HYPERLINK("PDF\FOIA-FWS-2020-00724-0002730.pdf","FOIA-FWS-2020-00724-0002730")</f>
        <v>FOIA-FWS-2020-00724-0002730</v>
      </c>
      <c r="B2731" s="3" t="s">
        <v>4562</v>
      </c>
      <c r="C2731" s="3" t="s">
        <v>234</v>
      </c>
      <c r="D2731" s="3" t="s">
        <v>160</v>
      </c>
      <c r="E2731" s="3" t="s">
        <v>4591</v>
      </c>
      <c r="F2731" s="4">
        <v>43795.864583333336</v>
      </c>
      <c r="G2731" s="3"/>
      <c r="H2731" s="3"/>
      <c r="I2731" s="3" t="s">
        <v>7043</v>
      </c>
      <c r="J2731" s="3"/>
      <c r="K2731" s="3"/>
      <c r="L2731" s="5" t="str">
        <f>HYPERLINK("NATIVE_FILES\FOIA-FWS-2020-00724-0002730.gdbindexes","FOIA-FWS-2020-00724-0002730.gdbindexes")</f>
        <v>FOIA-FWS-2020-00724-0002730.gdbindexes</v>
      </c>
    </row>
    <row r="2732" spans="1:12" ht="28.8" x14ac:dyDescent="0.55000000000000004">
      <c r="A2732" s="9" t="str">
        <f>HYPERLINK("PDF\FOIA-FWS-2020-00724-0002731.pdf","FOIA-FWS-2020-00724-0002731")</f>
        <v>FOIA-FWS-2020-00724-0002731</v>
      </c>
      <c r="B2732" s="3" t="s">
        <v>4562</v>
      </c>
      <c r="C2732" s="3" t="s">
        <v>234</v>
      </c>
      <c r="D2732" s="3" t="s">
        <v>160</v>
      </c>
      <c r="E2732" s="3" t="s">
        <v>4592</v>
      </c>
      <c r="F2732" s="4">
        <v>43795.864583333336</v>
      </c>
      <c r="G2732" s="3"/>
      <c r="H2732" s="3"/>
      <c r="I2732" s="3" t="s">
        <v>7043</v>
      </c>
      <c r="J2732" s="3"/>
      <c r="K2732" s="3"/>
      <c r="L2732" s="5" t="str">
        <f>HYPERLINK("NATIVE_FILES\FOIA-FWS-2020-00724-0002731.gdbtable","FOIA-FWS-2020-00724-0002731.gdbtable")</f>
        <v>FOIA-FWS-2020-00724-0002731.gdbtable</v>
      </c>
    </row>
    <row r="2733" spans="1:12" ht="28.8" x14ac:dyDescent="0.55000000000000004">
      <c r="A2733" s="9" t="str">
        <f>HYPERLINK("PDF\FOIA-FWS-2020-00724-0002732.pdf","FOIA-FWS-2020-00724-0002732")</f>
        <v>FOIA-FWS-2020-00724-0002732</v>
      </c>
      <c r="B2733" s="3" t="s">
        <v>4562</v>
      </c>
      <c r="C2733" s="3" t="s">
        <v>234</v>
      </c>
      <c r="D2733" s="3" t="s">
        <v>160</v>
      </c>
      <c r="E2733" s="3" t="s">
        <v>4593</v>
      </c>
      <c r="F2733" s="4">
        <v>43795.864583333336</v>
      </c>
      <c r="G2733" s="3"/>
      <c r="H2733" s="3"/>
      <c r="I2733" s="3" t="s">
        <v>7043</v>
      </c>
      <c r="J2733" s="3"/>
      <c r="K2733" s="3"/>
      <c r="L2733" s="5" t="str">
        <f>HYPERLINK("NATIVE_FILES\FOIA-FWS-2020-00724-0002732.gdbtablx","FOIA-FWS-2020-00724-0002732.gdbtablx")</f>
        <v>FOIA-FWS-2020-00724-0002732.gdbtablx</v>
      </c>
    </row>
    <row r="2734" spans="1:12" ht="28.8" x14ac:dyDescent="0.55000000000000004">
      <c r="A2734" s="9" t="str">
        <f>HYPERLINK("PDF\FOIA-FWS-2020-00724-0002733.pdf","FOIA-FWS-2020-00724-0002733")</f>
        <v>FOIA-FWS-2020-00724-0002733</v>
      </c>
      <c r="B2734" s="3" t="s">
        <v>4562</v>
      </c>
      <c r="C2734" s="3" t="s">
        <v>234</v>
      </c>
      <c r="D2734" s="3" t="s">
        <v>160</v>
      </c>
      <c r="E2734" s="3" t="s">
        <v>4594</v>
      </c>
      <c r="F2734" s="4">
        <v>43795.864583333336</v>
      </c>
      <c r="G2734" s="3"/>
      <c r="H2734" s="3"/>
      <c r="I2734" s="3" t="s">
        <v>7043</v>
      </c>
      <c r="J2734" s="3"/>
      <c r="K2734" s="3"/>
      <c r="L2734" s="5" t="str">
        <f>HYPERLINK("NATIVE_FILES\FOIA-FWS-2020-00724-0002733.atx","FOIA-FWS-2020-00724-0002733.atx")</f>
        <v>FOIA-FWS-2020-00724-0002733.atx</v>
      </c>
    </row>
    <row r="2735" spans="1:12" ht="28.8" x14ac:dyDescent="0.55000000000000004">
      <c r="A2735" s="9" t="str">
        <f>HYPERLINK("PDF\FOIA-FWS-2020-00724-0002734.pdf","FOIA-FWS-2020-00724-0002734")</f>
        <v>FOIA-FWS-2020-00724-0002734</v>
      </c>
      <c r="B2735" s="3" t="s">
        <v>4562</v>
      </c>
      <c r="C2735" s="3" t="s">
        <v>234</v>
      </c>
      <c r="D2735" s="3" t="s">
        <v>160</v>
      </c>
      <c r="E2735" s="3" t="s">
        <v>4595</v>
      </c>
      <c r="F2735" s="4">
        <v>43795.864583333336</v>
      </c>
      <c r="G2735" s="3"/>
      <c r="H2735" s="3"/>
      <c r="I2735" s="3" t="s">
        <v>7043</v>
      </c>
      <c r="J2735" s="3"/>
      <c r="K2735" s="3"/>
      <c r="L2735" s="5" t="str">
        <f>HYPERLINK("NATIVE_FILES\FOIA-FWS-2020-00724-0002734.gdbindexes","FOIA-FWS-2020-00724-0002734.gdbindexes")</f>
        <v>FOIA-FWS-2020-00724-0002734.gdbindexes</v>
      </c>
    </row>
    <row r="2736" spans="1:12" ht="28.8" x14ac:dyDescent="0.55000000000000004">
      <c r="A2736" s="9" t="str">
        <f>HYPERLINK("PDF\FOIA-FWS-2020-00724-0002735.pdf","FOIA-FWS-2020-00724-0002735")</f>
        <v>FOIA-FWS-2020-00724-0002735</v>
      </c>
      <c r="B2736" s="3" t="s">
        <v>4562</v>
      </c>
      <c r="C2736" s="3" t="s">
        <v>234</v>
      </c>
      <c r="D2736" s="3" t="s">
        <v>160</v>
      </c>
      <c r="E2736" s="3" t="s">
        <v>4596</v>
      </c>
      <c r="F2736" s="4">
        <v>43795.864583333336</v>
      </c>
      <c r="G2736" s="3"/>
      <c r="H2736" s="3"/>
      <c r="I2736" s="3" t="s">
        <v>7043</v>
      </c>
      <c r="J2736" s="3"/>
      <c r="K2736" s="3"/>
      <c r="L2736" s="5" t="str">
        <f>HYPERLINK("NATIVE_FILES\FOIA-FWS-2020-00724-0002735.gdbtable","FOIA-FWS-2020-00724-0002735.gdbtable")</f>
        <v>FOIA-FWS-2020-00724-0002735.gdbtable</v>
      </c>
    </row>
    <row r="2737" spans="1:12" ht="28.8" x14ac:dyDescent="0.55000000000000004">
      <c r="A2737" s="9" t="str">
        <f>HYPERLINK("PDF\FOIA-FWS-2020-00724-0002736.pdf","FOIA-FWS-2020-00724-0002736")</f>
        <v>FOIA-FWS-2020-00724-0002736</v>
      </c>
      <c r="B2737" s="3" t="s">
        <v>4562</v>
      </c>
      <c r="C2737" s="3" t="s">
        <v>234</v>
      </c>
      <c r="D2737" s="3" t="s">
        <v>160</v>
      </c>
      <c r="E2737" s="3" t="s">
        <v>4597</v>
      </c>
      <c r="F2737" s="4">
        <v>43795.864583333336</v>
      </c>
      <c r="G2737" s="3"/>
      <c r="H2737" s="3"/>
      <c r="I2737" s="3" t="s">
        <v>7043</v>
      </c>
      <c r="J2737" s="3"/>
      <c r="K2737" s="3"/>
      <c r="L2737" s="5" t="str">
        <f>HYPERLINK("NATIVE_FILES\FOIA-FWS-2020-00724-0002736.gdbtablx","FOIA-FWS-2020-00724-0002736.gdbtablx")</f>
        <v>FOIA-FWS-2020-00724-0002736.gdbtablx</v>
      </c>
    </row>
    <row r="2738" spans="1:12" ht="28.8" x14ac:dyDescent="0.55000000000000004">
      <c r="A2738" s="9" t="str">
        <f>HYPERLINK("PDF\FOIA-FWS-2020-00724-0002737.pdf","FOIA-FWS-2020-00724-0002737")</f>
        <v>FOIA-FWS-2020-00724-0002737</v>
      </c>
      <c r="B2738" s="3" t="s">
        <v>4562</v>
      </c>
      <c r="C2738" s="3" t="s">
        <v>234</v>
      </c>
      <c r="D2738" s="3" t="s">
        <v>160</v>
      </c>
      <c r="E2738" s="3" t="s">
        <v>4598</v>
      </c>
      <c r="F2738" s="4">
        <v>43795.864583333336</v>
      </c>
      <c r="G2738" s="3"/>
      <c r="H2738" s="3"/>
      <c r="I2738" s="3" t="s">
        <v>7043</v>
      </c>
      <c r="J2738" s="3"/>
      <c r="K2738" s="3"/>
      <c r="L2738" s="5" t="str">
        <f>HYPERLINK("NATIVE_FILES\FOIA-FWS-2020-00724-0002737.spx","FOIA-FWS-2020-00724-0002737.spx")</f>
        <v>FOIA-FWS-2020-00724-0002737.spx</v>
      </c>
    </row>
    <row r="2739" spans="1:12" ht="28.8" x14ac:dyDescent="0.55000000000000004">
      <c r="A2739" s="9" t="str">
        <f>HYPERLINK("PDF\FOIA-FWS-2020-00724-0002738.pdf","FOIA-FWS-2020-00724-0002738")</f>
        <v>FOIA-FWS-2020-00724-0002738</v>
      </c>
      <c r="B2739" s="3" t="s">
        <v>4562</v>
      </c>
      <c r="C2739" s="3" t="s">
        <v>234</v>
      </c>
      <c r="D2739" s="3" t="s">
        <v>160</v>
      </c>
      <c r="E2739" s="3" t="s">
        <v>4005</v>
      </c>
      <c r="F2739" s="4">
        <v>43795.864583333336</v>
      </c>
      <c r="G2739" s="3"/>
      <c r="H2739" s="3"/>
      <c r="I2739" s="3" t="s">
        <v>7043</v>
      </c>
      <c r="J2739" s="3"/>
      <c r="K2739" s="3"/>
      <c r="L2739" s="5" t="str">
        <f>HYPERLINK("NATIVE_FILES\FOIA-FWS-2020-00724-0002738.pkinfo","FOIA-FWS-2020-00724-0002738.pkinfo")</f>
        <v>FOIA-FWS-2020-00724-0002738.pkinfo</v>
      </c>
    </row>
    <row r="2740" spans="1:12" ht="28.8" x14ac:dyDescent="0.55000000000000004">
      <c r="A2740" s="9" t="str">
        <f>HYPERLINK("PDF\FOIA-FWS-2020-00724-0002739.pdf","FOIA-FWS-2020-00724-0002739")</f>
        <v>FOIA-FWS-2020-00724-0002739</v>
      </c>
      <c r="B2740" s="3" t="s">
        <v>4562</v>
      </c>
      <c r="C2740" s="3" t="s">
        <v>234</v>
      </c>
      <c r="D2740" s="3" t="s">
        <v>160</v>
      </c>
      <c r="E2740" s="3" t="s">
        <v>4006</v>
      </c>
      <c r="F2740" s="4">
        <v>43795.864583333336</v>
      </c>
      <c r="G2740" s="3"/>
      <c r="H2740" s="3"/>
      <c r="I2740" s="3" t="s">
        <v>7043</v>
      </c>
      <c r="J2740" s="3"/>
      <c r="K2740" s="3"/>
      <c r="L2740" s="5" t="str">
        <f>HYPERLINK("NATIVE_FILES\FOIA-FWS-2020-00724-0002739.xml","FOIA-FWS-2020-00724-0002739.xml")</f>
        <v>FOIA-FWS-2020-00724-0002739.xml</v>
      </c>
    </row>
    <row r="2741" spans="1:12" ht="28.8" x14ac:dyDescent="0.55000000000000004">
      <c r="A2741" s="9" t="str">
        <f>HYPERLINK("PDF\FOIA-FWS-2020-00724-0002740.pdf","FOIA-FWS-2020-00724-0002740")</f>
        <v>FOIA-FWS-2020-00724-0002740</v>
      </c>
      <c r="B2741" s="3" t="s">
        <v>4562</v>
      </c>
      <c r="C2741" s="3" t="s">
        <v>234</v>
      </c>
      <c r="D2741" s="3" t="s">
        <v>160</v>
      </c>
      <c r="E2741" s="3" t="s">
        <v>4007</v>
      </c>
      <c r="F2741" s="4">
        <v>43795.864583333336</v>
      </c>
      <c r="G2741" s="3"/>
      <c r="H2741" s="3"/>
      <c r="I2741" s="3" t="s">
        <v>7043</v>
      </c>
      <c r="J2741" s="3"/>
      <c r="K2741" s="3"/>
      <c r="L2741" s="5"/>
    </row>
    <row r="2742" spans="1:12" ht="28.8" x14ac:dyDescent="0.55000000000000004">
      <c r="A2742" s="9" t="str">
        <f>HYPERLINK("PDF\FOIA-FWS-2020-00724-0002741.pdf","FOIA-FWS-2020-00724-0002741")</f>
        <v>FOIA-FWS-2020-00724-0002741</v>
      </c>
      <c r="B2742" s="3" t="s">
        <v>4562</v>
      </c>
      <c r="C2742" s="3" t="s">
        <v>234</v>
      </c>
      <c r="D2742" s="3" t="s">
        <v>160</v>
      </c>
      <c r="E2742" s="3" t="s">
        <v>4599</v>
      </c>
      <c r="F2742" s="4">
        <v>43795.864583333336</v>
      </c>
      <c r="G2742" s="3"/>
      <c r="H2742" s="3"/>
      <c r="I2742" s="3" t="s">
        <v>7043</v>
      </c>
      <c r="J2742" s="3"/>
      <c r="K2742" s="3"/>
      <c r="L2742" s="5" t="str">
        <f>HYPERLINK("NATIVE_FILES\FOIA-FWS-2020-00724-0002741.lyrx","FOIA-FWS-2020-00724-0002741.lyrx")</f>
        <v>FOIA-FWS-2020-00724-0002741.lyrx</v>
      </c>
    </row>
    <row r="2743" spans="1:12" ht="28.8" x14ac:dyDescent="0.55000000000000004">
      <c r="A2743" s="9" t="str">
        <f>HYPERLINK("PDF\FOIA-FWS-2020-00724-0002742.pdf","FOIA-FWS-2020-00724-0002742")</f>
        <v>FOIA-FWS-2020-00724-0002742</v>
      </c>
      <c r="B2743" s="3" t="s">
        <v>4562</v>
      </c>
      <c r="C2743" s="3" t="s">
        <v>234</v>
      </c>
      <c r="D2743" s="3" t="s">
        <v>160</v>
      </c>
      <c r="E2743" s="3" t="s">
        <v>4226</v>
      </c>
      <c r="F2743" s="4">
        <v>43795.864583333336</v>
      </c>
      <c r="G2743" s="3"/>
      <c r="H2743" s="3"/>
      <c r="I2743" s="3" t="s">
        <v>7043</v>
      </c>
      <c r="J2743" s="3"/>
      <c r="K2743" s="3"/>
      <c r="L2743" s="5" t="str">
        <f>HYPERLINK("NATIVE_FILES\FOIA-FWS-2020-00724-0002742.gdbindexes","FOIA-FWS-2020-00724-0002742.gdbindexes")</f>
        <v>FOIA-FWS-2020-00724-0002742.gdbindexes</v>
      </c>
    </row>
    <row r="2744" spans="1:12" ht="28.8" x14ac:dyDescent="0.55000000000000004">
      <c r="A2744" s="9" t="str">
        <f>HYPERLINK("PDF\FOIA-FWS-2020-00724-0002743.pdf","FOIA-FWS-2020-00724-0002743")</f>
        <v>FOIA-FWS-2020-00724-0002743</v>
      </c>
      <c r="B2744" s="3" t="s">
        <v>4562</v>
      </c>
      <c r="C2744" s="3" t="s">
        <v>234</v>
      </c>
      <c r="D2744" s="3" t="s">
        <v>160</v>
      </c>
      <c r="E2744" s="3" t="s">
        <v>4227</v>
      </c>
      <c r="F2744" s="4">
        <v>43795.864583333336</v>
      </c>
      <c r="G2744" s="3"/>
      <c r="H2744" s="3"/>
      <c r="I2744" s="3" t="s">
        <v>7043</v>
      </c>
      <c r="J2744" s="3"/>
      <c r="K2744" s="3"/>
      <c r="L2744" s="5" t="str">
        <f>HYPERLINK("NATIVE_FILES\FOIA-FWS-2020-00724-0002743.gdbtable","FOIA-FWS-2020-00724-0002743.gdbtable")</f>
        <v>FOIA-FWS-2020-00724-0002743.gdbtable</v>
      </c>
    </row>
    <row r="2745" spans="1:12" ht="28.8" x14ac:dyDescent="0.55000000000000004">
      <c r="A2745" s="9" t="str">
        <f>HYPERLINK("PDF\FOIA-FWS-2020-00724-0002744.pdf","FOIA-FWS-2020-00724-0002744")</f>
        <v>FOIA-FWS-2020-00724-0002744</v>
      </c>
      <c r="B2745" s="3" t="s">
        <v>4562</v>
      </c>
      <c r="C2745" s="3" t="s">
        <v>234</v>
      </c>
      <c r="D2745" s="3" t="s">
        <v>160</v>
      </c>
      <c r="E2745" s="3" t="s">
        <v>4228</v>
      </c>
      <c r="F2745" s="4">
        <v>43795.864583333336</v>
      </c>
      <c r="G2745" s="3"/>
      <c r="H2745" s="3"/>
      <c r="I2745" s="3" t="s">
        <v>7043</v>
      </c>
      <c r="J2745" s="3"/>
      <c r="K2745" s="3"/>
      <c r="L2745" s="5" t="str">
        <f>HYPERLINK("NATIVE_FILES\FOIA-FWS-2020-00724-0002744.gdbtablx","FOIA-FWS-2020-00724-0002744.gdbtablx")</f>
        <v>FOIA-FWS-2020-00724-0002744.gdbtablx</v>
      </c>
    </row>
    <row r="2746" spans="1:12" ht="28.8" x14ac:dyDescent="0.55000000000000004">
      <c r="A2746" s="9" t="str">
        <f>HYPERLINK("PDF\FOIA-FWS-2020-00724-0002745.pdf","FOIA-FWS-2020-00724-0002745")</f>
        <v>FOIA-FWS-2020-00724-0002745</v>
      </c>
      <c r="B2746" s="3" t="s">
        <v>4562</v>
      </c>
      <c r="C2746" s="3" t="s">
        <v>234</v>
      </c>
      <c r="D2746" s="3" t="s">
        <v>160</v>
      </c>
      <c r="E2746" s="3" t="s">
        <v>4229</v>
      </c>
      <c r="F2746" s="4">
        <v>43795.864583333336</v>
      </c>
      <c r="G2746" s="3"/>
      <c r="H2746" s="3"/>
      <c r="I2746" s="3" t="s">
        <v>7043</v>
      </c>
      <c r="J2746" s="3"/>
      <c r="K2746" s="3"/>
      <c r="L2746" s="5" t="str">
        <f>HYPERLINK("NATIVE_FILES\FOIA-FWS-2020-00724-0002745.atx","FOIA-FWS-2020-00724-0002745.atx")</f>
        <v>FOIA-FWS-2020-00724-0002745.atx</v>
      </c>
    </row>
    <row r="2747" spans="1:12" ht="28.8" x14ac:dyDescent="0.55000000000000004">
      <c r="A2747" s="9" t="str">
        <f>HYPERLINK("PDF\FOIA-FWS-2020-00724-0002746.pdf","FOIA-FWS-2020-00724-0002746")</f>
        <v>FOIA-FWS-2020-00724-0002746</v>
      </c>
      <c r="B2747" s="3" t="s">
        <v>4562</v>
      </c>
      <c r="C2747" s="3" t="s">
        <v>234</v>
      </c>
      <c r="D2747" s="3" t="s">
        <v>160</v>
      </c>
      <c r="E2747" s="3" t="s">
        <v>4230</v>
      </c>
      <c r="F2747" s="4">
        <v>43795.864583333336</v>
      </c>
      <c r="G2747" s="3"/>
      <c r="H2747" s="3"/>
      <c r="I2747" s="3" t="s">
        <v>7043</v>
      </c>
      <c r="J2747" s="3"/>
      <c r="K2747" s="3"/>
      <c r="L2747" s="5" t="str">
        <f>HYPERLINK("NATIVE_FILES\FOIA-FWS-2020-00724-0002746.gdbtable","FOIA-FWS-2020-00724-0002746.gdbtable")</f>
        <v>FOIA-FWS-2020-00724-0002746.gdbtable</v>
      </c>
    </row>
    <row r="2748" spans="1:12" ht="28.8" x14ac:dyDescent="0.55000000000000004">
      <c r="A2748" s="9" t="str">
        <f>HYPERLINK("PDF\FOIA-FWS-2020-00724-0002747.pdf","FOIA-FWS-2020-00724-0002747")</f>
        <v>FOIA-FWS-2020-00724-0002747</v>
      </c>
      <c r="B2748" s="3" t="s">
        <v>4562</v>
      </c>
      <c r="C2748" s="3" t="s">
        <v>234</v>
      </c>
      <c r="D2748" s="3" t="s">
        <v>160</v>
      </c>
      <c r="E2748" s="3" t="s">
        <v>4231</v>
      </c>
      <c r="F2748" s="4">
        <v>43795.864583333336</v>
      </c>
      <c r="G2748" s="3"/>
      <c r="H2748" s="3"/>
      <c r="I2748" s="3" t="s">
        <v>7043</v>
      </c>
      <c r="J2748" s="3"/>
      <c r="K2748" s="3"/>
      <c r="L2748" s="5" t="str">
        <f>HYPERLINK("NATIVE_FILES\FOIA-FWS-2020-00724-0002747.gdbtablx","FOIA-FWS-2020-00724-0002747.gdbtablx")</f>
        <v>FOIA-FWS-2020-00724-0002747.gdbtablx</v>
      </c>
    </row>
    <row r="2749" spans="1:12" ht="28.8" x14ac:dyDescent="0.55000000000000004">
      <c r="A2749" s="9" t="str">
        <f>HYPERLINK("PDF\FOIA-FWS-2020-00724-0002748.pdf","FOIA-FWS-2020-00724-0002748")</f>
        <v>FOIA-FWS-2020-00724-0002748</v>
      </c>
      <c r="B2749" s="3" t="s">
        <v>4562</v>
      </c>
      <c r="C2749" s="3" t="s">
        <v>234</v>
      </c>
      <c r="D2749" s="3" t="s">
        <v>160</v>
      </c>
      <c r="E2749" s="3" t="s">
        <v>4236</v>
      </c>
      <c r="F2749" s="4">
        <v>43795.864583333336</v>
      </c>
      <c r="G2749" s="3"/>
      <c r="H2749" s="3"/>
      <c r="I2749" s="3" t="s">
        <v>7043</v>
      </c>
      <c r="J2749" s="3"/>
      <c r="K2749" s="3"/>
      <c r="L2749" s="5" t="str">
        <f>HYPERLINK("NATIVE_FILES\FOIA-FWS-2020-00724-0002748.gdbindexes","FOIA-FWS-2020-00724-0002748.gdbindexes")</f>
        <v>FOIA-FWS-2020-00724-0002748.gdbindexes</v>
      </c>
    </row>
    <row r="2750" spans="1:12" ht="28.8" x14ac:dyDescent="0.55000000000000004">
      <c r="A2750" s="9" t="str">
        <f>HYPERLINK("PDF\FOIA-FWS-2020-00724-0002749.pdf","FOIA-FWS-2020-00724-0002749")</f>
        <v>FOIA-FWS-2020-00724-0002749</v>
      </c>
      <c r="B2750" s="3" t="s">
        <v>4562</v>
      </c>
      <c r="C2750" s="3" t="s">
        <v>234</v>
      </c>
      <c r="D2750" s="3" t="s">
        <v>160</v>
      </c>
      <c r="E2750" s="3" t="s">
        <v>4237</v>
      </c>
      <c r="F2750" s="4">
        <v>43795.864583333336</v>
      </c>
      <c r="G2750" s="3"/>
      <c r="H2750" s="3"/>
      <c r="I2750" s="3" t="s">
        <v>7043</v>
      </c>
      <c r="J2750" s="3"/>
      <c r="K2750" s="3"/>
      <c r="L2750" s="5" t="str">
        <f>HYPERLINK("NATIVE_FILES\FOIA-FWS-2020-00724-0002749.gdbtable","FOIA-FWS-2020-00724-0002749.gdbtable")</f>
        <v>FOIA-FWS-2020-00724-0002749.gdbtable</v>
      </c>
    </row>
    <row r="2751" spans="1:12" ht="28.8" x14ac:dyDescent="0.55000000000000004">
      <c r="A2751" s="9" t="str">
        <f>HYPERLINK("PDF\FOIA-FWS-2020-00724-0002750.pdf","FOIA-FWS-2020-00724-0002750")</f>
        <v>FOIA-FWS-2020-00724-0002750</v>
      </c>
      <c r="B2751" s="3" t="s">
        <v>4562</v>
      </c>
      <c r="C2751" s="3" t="s">
        <v>234</v>
      </c>
      <c r="D2751" s="3" t="s">
        <v>160</v>
      </c>
      <c r="E2751" s="3" t="s">
        <v>4238</v>
      </c>
      <c r="F2751" s="4">
        <v>43795.864583333336</v>
      </c>
      <c r="G2751" s="3"/>
      <c r="H2751" s="3"/>
      <c r="I2751" s="3" t="s">
        <v>7043</v>
      </c>
      <c r="J2751" s="3"/>
      <c r="K2751" s="3"/>
      <c r="L2751" s="5" t="str">
        <f>HYPERLINK("NATIVE_FILES\FOIA-FWS-2020-00724-0002750.gdbtablx","FOIA-FWS-2020-00724-0002750.gdbtablx")</f>
        <v>FOIA-FWS-2020-00724-0002750.gdbtablx</v>
      </c>
    </row>
    <row r="2752" spans="1:12" ht="28.8" x14ac:dyDescent="0.55000000000000004">
      <c r="A2752" s="9" t="str">
        <f>HYPERLINK("PDF\FOIA-FWS-2020-00724-0002751.pdf","FOIA-FWS-2020-00724-0002751")</f>
        <v>FOIA-FWS-2020-00724-0002751</v>
      </c>
      <c r="B2752" s="3" t="s">
        <v>4562</v>
      </c>
      <c r="C2752" s="3" t="s">
        <v>234</v>
      </c>
      <c r="D2752" s="3" t="s">
        <v>160</v>
      </c>
      <c r="E2752" s="3" t="s">
        <v>4565</v>
      </c>
      <c r="F2752" s="4">
        <v>43795.864583333336</v>
      </c>
      <c r="G2752" s="3"/>
      <c r="H2752" s="3"/>
      <c r="I2752" s="3" t="s">
        <v>7043</v>
      </c>
      <c r="J2752" s="3"/>
      <c r="K2752" s="3"/>
      <c r="L2752" s="5" t="str">
        <f>HYPERLINK("NATIVE_FILES\FOIA-FWS-2020-00724-0002751.atx","FOIA-FWS-2020-00724-0002751.atx")</f>
        <v>FOIA-FWS-2020-00724-0002751.atx</v>
      </c>
    </row>
    <row r="2753" spans="1:12" ht="28.8" x14ac:dyDescent="0.55000000000000004">
      <c r="A2753" s="9" t="str">
        <f>HYPERLINK("PDF\FOIA-FWS-2020-00724-0002752.pdf","FOIA-FWS-2020-00724-0002752")</f>
        <v>FOIA-FWS-2020-00724-0002752</v>
      </c>
      <c r="B2753" s="3" t="s">
        <v>4562</v>
      </c>
      <c r="C2753" s="3" t="s">
        <v>234</v>
      </c>
      <c r="D2753" s="3" t="s">
        <v>160</v>
      </c>
      <c r="E2753" s="3" t="s">
        <v>4566</v>
      </c>
      <c r="F2753" s="4">
        <v>43795.864583333336</v>
      </c>
      <c r="G2753" s="3"/>
      <c r="H2753" s="3"/>
      <c r="I2753" s="3" t="s">
        <v>7043</v>
      </c>
      <c r="J2753" s="3"/>
      <c r="K2753" s="3"/>
      <c r="L2753" s="5" t="str">
        <f>HYPERLINK("NATIVE_FILES\FOIA-FWS-2020-00724-0002752.atx","FOIA-FWS-2020-00724-0002752.atx")</f>
        <v>FOIA-FWS-2020-00724-0002752.atx</v>
      </c>
    </row>
    <row r="2754" spans="1:12" ht="28.8" x14ac:dyDescent="0.55000000000000004">
      <c r="A2754" s="9" t="str">
        <f>HYPERLINK("PDF\FOIA-FWS-2020-00724-0002753.pdf","FOIA-FWS-2020-00724-0002753")</f>
        <v>FOIA-FWS-2020-00724-0002753</v>
      </c>
      <c r="B2754" s="3" t="s">
        <v>4562</v>
      </c>
      <c r="C2754" s="3" t="s">
        <v>234</v>
      </c>
      <c r="D2754" s="3" t="s">
        <v>160</v>
      </c>
      <c r="E2754" s="3" t="s">
        <v>4567</v>
      </c>
      <c r="F2754" s="4">
        <v>43795.864583333336</v>
      </c>
      <c r="G2754" s="3"/>
      <c r="H2754" s="3"/>
      <c r="I2754" s="3" t="s">
        <v>7043</v>
      </c>
      <c r="J2754" s="3"/>
      <c r="K2754" s="3"/>
      <c r="L2754" s="5" t="str">
        <f>HYPERLINK("NATIVE_FILES\FOIA-FWS-2020-00724-0002753.atx","FOIA-FWS-2020-00724-0002753.atx")</f>
        <v>FOIA-FWS-2020-00724-0002753.atx</v>
      </c>
    </row>
    <row r="2755" spans="1:12" ht="28.8" x14ac:dyDescent="0.55000000000000004">
      <c r="A2755" s="9" t="str">
        <f>HYPERLINK("PDF\FOIA-FWS-2020-00724-0002754.pdf","FOIA-FWS-2020-00724-0002754")</f>
        <v>FOIA-FWS-2020-00724-0002754</v>
      </c>
      <c r="B2755" s="3" t="s">
        <v>4562</v>
      </c>
      <c r="C2755" s="3" t="s">
        <v>234</v>
      </c>
      <c r="D2755" s="3" t="s">
        <v>160</v>
      </c>
      <c r="E2755" s="3" t="s">
        <v>4568</v>
      </c>
      <c r="F2755" s="4">
        <v>43795.864583333336</v>
      </c>
      <c r="G2755" s="3"/>
      <c r="H2755" s="3"/>
      <c r="I2755" s="3" t="s">
        <v>7043</v>
      </c>
      <c r="J2755" s="3"/>
      <c r="K2755" s="3"/>
      <c r="L2755" s="5" t="str">
        <f>HYPERLINK("NATIVE_FILES\FOIA-FWS-2020-00724-0002754.gdbindexes","FOIA-FWS-2020-00724-0002754.gdbindexes")</f>
        <v>FOIA-FWS-2020-00724-0002754.gdbindexes</v>
      </c>
    </row>
    <row r="2756" spans="1:12" ht="28.8" x14ac:dyDescent="0.55000000000000004">
      <c r="A2756" s="9" t="str">
        <f>HYPERLINK("PDF\FOIA-FWS-2020-00724-0002755.pdf","FOIA-FWS-2020-00724-0002755")</f>
        <v>FOIA-FWS-2020-00724-0002755</v>
      </c>
      <c r="B2756" s="3" t="s">
        <v>4562</v>
      </c>
      <c r="C2756" s="3" t="s">
        <v>234</v>
      </c>
      <c r="D2756" s="3" t="s">
        <v>160</v>
      </c>
      <c r="E2756" s="3" t="s">
        <v>4569</v>
      </c>
      <c r="F2756" s="4">
        <v>43795.864583333336</v>
      </c>
      <c r="G2756" s="3"/>
      <c r="H2756" s="3"/>
      <c r="I2756" s="3" t="s">
        <v>7043</v>
      </c>
      <c r="J2756" s="3"/>
      <c r="K2756" s="3"/>
      <c r="L2756" s="5" t="str">
        <f>HYPERLINK("NATIVE_FILES\FOIA-FWS-2020-00724-0002755.gdbtable","FOIA-FWS-2020-00724-0002755.gdbtable")</f>
        <v>FOIA-FWS-2020-00724-0002755.gdbtable</v>
      </c>
    </row>
    <row r="2757" spans="1:12" ht="28.8" x14ac:dyDescent="0.55000000000000004">
      <c r="A2757" s="9" t="str">
        <f>HYPERLINK("PDF\FOIA-FWS-2020-00724-0002756.pdf","FOIA-FWS-2020-00724-0002756")</f>
        <v>FOIA-FWS-2020-00724-0002756</v>
      </c>
      <c r="B2757" s="3" t="s">
        <v>4562</v>
      </c>
      <c r="C2757" s="3" t="s">
        <v>234</v>
      </c>
      <c r="D2757" s="3" t="s">
        <v>160</v>
      </c>
      <c r="E2757" s="3" t="s">
        <v>4570</v>
      </c>
      <c r="F2757" s="4">
        <v>43795.864583333336</v>
      </c>
      <c r="G2757" s="3"/>
      <c r="H2757" s="3"/>
      <c r="I2757" s="3" t="s">
        <v>7043</v>
      </c>
      <c r="J2757" s="3"/>
      <c r="K2757" s="3"/>
      <c r="L2757" s="5" t="str">
        <f>HYPERLINK("NATIVE_FILES\FOIA-FWS-2020-00724-0002756.gdbtablx","FOIA-FWS-2020-00724-0002756.gdbtablx")</f>
        <v>FOIA-FWS-2020-00724-0002756.gdbtablx</v>
      </c>
    </row>
    <row r="2758" spans="1:12" ht="28.8" x14ac:dyDescent="0.55000000000000004">
      <c r="A2758" s="9" t="str">
        <f>HYPERLINK("PDF\FOIA-FWS-2020-00724-0002757.pdf","FOIA-FWS-2020-00724-0002757")</f>
        <v>FOIA-FWS-2020-00724-0002757</v>
      </c>
      <c r="B2758" s="3" t="s">
        <v>4562</v>
      </c>
      <c r="C2758" s="3" t="s">
        <v>234</v>
      </c>
      <c r="D2758" s="3" t="s">
        <v>160</v>
      </c>
      <c r="E2758" s="3" t="s">
        <v>4571</v>
      </c>
      <c r="F2758" s="4">
        <v>43795.864583333336</v>
      </c>
      <c r="G2758" s="3"/>
      <c r="H2758" s="3"/>
      <c r="I2758" s="3" t="s">
        <v>7043</v>
      </c>
      <c r="J2758" s="3"/>
      <c r="K2758" s="3"/>
      <c r="L2758" s="5" t="str">
        <f>HYPERLINK("NATIVE_FILES\FOIA-FWS-2020-00724-0002757.spx","FOIA-FWS-2020-00724-0002757.spx")</f>
        <v>FOIA-FWS-2020-00724-0002757.spx</v>
      </c>
    </row>
    <row r="2759" spans="1:12" ht="28.8" x14ac:dyDescent="0.55000000000000004">
      <c r="A2759" s="9" t="str">
        <f>HYPERLINK("PDF\FOIA-FWS-2020-00724-0002758.pdf","FOIA-FWS-2020-00724-0002758")</f>
        <v>FOIA-FWS-2020-00724-0002758</v>
      </c>
      <c r="B2759" s="3" t="s">
        <v>4562</v>
      </c>
      <c r="C2759" s="3" t="s">
        <v>234</v>
      </c>
      <c r="D2759" s="3" t="s">
        <v>160</v>
      </c>
      <c r="E2759" s="3" t="s">
        <v>4572</v>
      </c>
      <c r="F2759" s="4">
        <v>43795.864583333336</v>
      </c>
      <c r="G2759" s="3"/>
      <c r="H2759" s="3"/>
      <c r="I2759" s="3" t="s">
        <v>7043</v>
      </c>
      <c r="J2759" s="3"/>
      <c r="K2759" s="3"/>
      <c r="L2759" s="5" t="str">
        <f>HYPERLINK("NATIVE_FILES\FOIA-FWS-2020-00724-0002758.atx","FOIA-FWS-2020-00724-0002758.atx")</f>
        <v>FOIA-FWS-2020-00724-0002758.atx</v>
      </c>
    </row>
    <row r="2760" spans="1:12" ht="28.8" x14ac:dyDescent="0.55000000000000004">
      <c r="A2760" s="9" t="str">
        <f>HYPERLINK("PDF\FOIA-FWS-2020-00724-0002759.pdf","FOIA-FWS-2020-00724-0002759")</f>
        <v>FOIA-FWS-2020-00724-0002759</v>
      </c>
      <c r="B2760" s="3" t="s">
        <v>4562</v>
      </c>
      <c r="C2760" s="3" t="s">
        <v>234</v>
      </c>
      <c r="D2760" s="3" t="s">
        <v>160</v>
      </c>
      <c r="E2760" s="3" t="s">
        <v>4573</v>
      </c>
      <c r="F2760" s="4">
        <v>43795.864583333336</v>
      </c>
      <c r="G2760" s="3"/>
      <c r="H2760" s="3"/>
      <c r="I2760" s="3" t="s">
        <v>7043</v>
      </c>
      <c r="J2760" s="3"/>
      <c r="K2760" s="3"/>
      <c r="L2760" s="5" t="str">
        <f>HYPERLINK("NATIVE_FILES\FOIA-FWS-2020-00724-0002759.atx","FOIA-FWS-2020-00724-0002759.atx")</f>
        <v>FOIA-FWS-2020-00724-0002759.atx</v>
      </c>
    </row>
    <row r="2761" spans="1:12" ht="28.8" x14ac:dyDescent="0.55000000000000004">
      <c r="A2761" s="9" t="str">
        <f>HYPERLINK("PDF\FOIA-FWS-2020-00724-0002760.pdf","FOIA-FWS-2020-00724-0002760")</f>
        <v>FOIA-FWS-2020-00724-0002760</v>
      </c>
      <c r="B2761" s="3" t="s">
        <v>4562</v>
      </c>
      <c r="C2761" s="3" t="s">
        <v>234</v>
      </c>
      <c r="D2761" s="3" t="s">
        <v>160</v>
      </c>
      <c r="E2761" s="3" t="s">
        <v>4574</v>
      </c>
      <c r="F2761" s="4">
        <v>43795.864583333336</v>
      </c>
      <c r="G2761" s="3"/>
      <c r="H2761" s="3"/>
      <c r="I2761" s="3" t="s">
        <v>7043</v>
      </c>
      <c r="J2761" s="3"/>
      <c r="K2761" s="3"/>
      <c r="L2761" s="5" t="str">
        <f>HYPERLINK("NATIVE_FILES\FOIA-FWS-2020-00724-0002760.atx","FOIA-FWS-2020-00724-0002760.atx")</f>
        <v>FOIA-FWS-2020-00724-0002760.atx</v>
      </c>
    </row>
    <row r="2762" spans="1:12" ht="28.8" x14ac:dyDescent="0.55000000000000004">
      <c r="A2762" s="9" t="str">
        <f>HYPERLINK("PDF\FOIA-FWS-2020-00724-0002761.pdf","FOIA-FWS-2020-00724-0002761")</f>
        <v>FOIA-FWS-2020-00724-0002761</v>
      </c>
      <c r="B2762" s="3" t="s">
        <v>4562</v>
      </c>
      <c r="C2762" s="3" t="s">
        <v>234</v>
      </c>
      <c r="D2762" s="3" t="s">
        <v>160</v>
      </c>
      <c r="E2762" s="3" t="s">
        <v>4575</v>
      </c>
      <c r="F2762" s="4">
        <v>43795.864583333336</v>
      </c>
      <c r="G2762" s="3"/>
      <c r="H2762" s="3"/>
      <c r="I2762" s="3" t="s">
        <v>7043</v>
      </c>
      <c r="J2762" s="3"/>
      <c r="K2762" s="3"/>
      <c r="L2762" s="5" t="str">
        <f>HYPERLINK("NATIVE_FILES\FOIA-FWS-2020-00724-0002761.gdbindexes","FOIA-FWS-2020-00724-0002761.gdbindexes")</f>
        <v>FOIA-FWS-2020-00724-0002761.gdbindexes</v>
      </c>
    </row>
    <row r="2763" spans="1:12" ht="28.8" x14ac:dyDescent="0.55000000000000004">
      <c r="A2763" s="9" t="str">
        <f>HYPERLINK("PDF\FOIA-FWS-2020-00724-0002762.pdf","FOIA-FWS-2020-00724-0002762")</f>
        <v>FOIA-FWS-2020-00724-0002762</v>
      </c>
      <c r="B2763" s="3" t="s">
        <v>4562</v>
      </c>
      <c r="C2763" s="3" t="s">
        <v>234</v>
      </c>
      <c r="D2763" s="3" t="s">
        <v>160</v>
      </c>
      <c r="E2763" s="3" t="s">
        <v>4576</v>
      </c>
      <c r="F2763" s="4">
        <v>43795.864583333336</v>
      </c>
      <c r="G2763" s="3"/>
      <c r="H2763" s="3"/>
      <c r="I2763" s="3" t="s">
        <v>7043</v>
      </c>
      <c r="J2763" s="3"/>
      <c r="K2763" s="3"/>
      <c r="L2763" s="5" t="str">
        <f>HYPERLINK("NATIVE_FILES\FOIA-FWS-2020-00724-0002762.gdbtable","FOIA-FWS-2020-00724-0002762.gdbtable")</f>
        <v>FOIA-FWS-2020-00724-0002762.gdbtable</v>
      </c>
    </row>
    <row r="2764" spans="1:12" ht="28.8" x14ac:dyDescent="0.55000000000000004">
      <c r="A2764" s="9" t="str">
        <f>HYPERLINK("PDF\FOIA-FWS-2020-00724-0002763.pdf","FOIA-FWS-2020-00724-0002763")</f>
        <v>FOIA-FWS-2020-00724-0002763</v>
      </c>
      <c r="B2764" s="3" t="s">
        <v>4562</v>
      </c>
      <c r="C2764" s="3" t="s">
        <v>234</v>
      </c>
      <c r="D2764" s="3" t="s">
        <v>160</v>
      </c>
      <c r="E2764" s="3" t="s">
        <v>4577</v>
      </c>
      <c r="F2764" s="4">
        <v>43795.864583333336</v>
      </c>
      <c r="G2764" s="3"/>
      <c r="H2764" s="3"/>
      <c r="I2764" s="3" t="s">
        <v>7043</v>
      </c>
      <c r="J2764" s="3"/>
      <c r="K2764" s="3"/>
      <c r="L2764" s="5" t="str">
        <f>HYPERLINK("NATIVE_FILES\FOIA-FWS-2020-00724-0002763.gdbtablx","FOIA-FWS-2020-00724-0002763.gdbtablx")</f>
        <v>FOIA-FWS-2020-00724-0002763.gdbtablx</v>
      </c>
    </row>
    <row r="2765" spans="1:12" ht="28.8" x14ac:dyDescent="0.55000000000000004">
      <c r="A2765" s="9" t="str">
        <f>HYPERLINK("PDF\FOIA-FWS-2020-00724-0002764.pdf","FOIA-FWS-2020-00724-0002764")</f>
        <v>FOIA-FWS-2020-00724-0002764</v>
      </c>
      <c r="B2765" s="3" t="s">
        <v>4562</v>
      </c>
      <c r="C2765" s="3" t="s">
        <v>234</v>
      </c>
      <c r="D2765" s="3" t="s">
        <v>160</v>
      </c>
      <c r="E2765" s="3" t="s">
        <v>4578</v>
      </c>
      <c r="F2765" s="4">
        <v>43795.864583333336</v>
      </c>
      <c r="G2765" s="3"/>
      <c r="H2765" s="3"/>
      <c r="I2765" s="3" t="s">
        <v>7043</v>
      </c>
      <c r="J2765" s="3"/>
      <c r="K2765" s="3"/>
      <c r="L2765" s="5" t="str">
        <f>HYPERLINK("NATIVE_FILES\FOIA-FWS-2020-00724-0002764.atx","FOIA-FWS-2020-00724-0002764.atx")</f>
        <v>FOIA-FWS-2020-00724-0002764.atx</v>
      </c>
    </row>
    <row r="2766" spans="1:12" ht="28.8" x14ac:dyDescent="0.55000000000000004">
      <c r="A2766" s="9" t="str">
        <f>HYPERLINK("PDF\FOIA-FWS-2020-00724-0002765.pdf","FOIA-FWS-2020-00724-0002765")</f>
        <v>FOIA-FWS-2020-00724-0002765</v>
      </c>
      <c r="B2766" s="3" t="s">
        <v>4562</v>
      </c>
      <c r="C2766" s="3" t="s">
        <v>234</v>
      </c>
      <c r="D2766" s="3" t="s">
        <v>160</v>
      </c>
      <c r="E2766" s="3" t="s">
        <v>4579</v>
      </c>
      <c r="F2766" s="4">
        <v>43795.864583333336</v>
      </c>
      <c r="G2766" s="3"/>
      <c r="H2766" s="3"/>
      <c r="I2766" s="3" t="s">
        <v>7043</v>
      </c>
      <c r="J2766" s="3"/>
      <c r="K2766" s="3"/>
      <c r="L2766" s="5" t="str">
        <f>HYPERLINK("NATIVE_FILES\FOIA-FWS-2020-00724-0002765.atx","FOIA-FWS-2020-00724-0002765.atx")</f>
        <v>FOIA-FWS-2020-00724-0002765.atx</v>
      </c>
    </row>
    <row r="2767" spans="1:12" ht="28.8" x14ac:dyDescent="0.55000000000000004">
      <c r="A2767" s="9" t="str">
        <f>HYPERLINK("PDF\FOIA-FWS-2020-00724-0002766.pdf","FOIA-FWS-2020-00724-0002766")</f>
        <v>FOIA-FWS-2020-00724-0002766</v>
      </c>
      <c r="B2767" s="3" t="s">
        <v>4562</v>
      </c>
      <c r="C2767" s="3" t="s">
        <v>234</v>
      </c>
      <c r="D2767" s="3" t="s">
        <v>160</v>
      </c>
      <c r="E2767" s="3" t="s">
        <v>4580</v>
      </c>
      <c r="F2767" s="4">
        <v>43795.864583333336</v>
      </c>
      <c r="G2767" s="3"/>
      <c r="H2767" s="3"/>
      <c r="I2767" s="3" t="s">
        <v>7043</v>
      </c>
      <c r="J2767" s="3"/>
      <c r="K2767" s="3"/>
      <c r="L2767" s="5" t="str">
        <f>HYPERLINK("NATIVE_FILES\FOIA-FWS-2020-00724-0002766.atx","FOIA-FWS-2020-00724-0002766.atx")</f>
        <v>FOIA-FWS-2020-00724-0002766.atx</v>
      </c>
    </row>
    <row r="2768" spans="1:12" ht="28.8" x14ac:dyDescent="0.55000000000000004">
      <c r="A2768" s="9" t="str">
        <f>HYPERLINK("PDF\FOIA-FWS-2020-00724-0002767.pdf","FOIA-FWS-2020-00724-0002767")</f>
        <v>FOIA-FWS-2020-00724-0002767</v>
      </c>
      <c r="B2768" s="3" t="s">
        <v>4562</v>
      </c>
      <c r="C2768" s="3" t="s">
        <v>234</v>
      </c>
      <c r="D2768" s="3" t="s">
        <v>160</v>
      </c>
      <c r="E2768" s="3" t="s">
        <v>4581</v>
      </c>
      <c r="F2768" s="4">
        <v>43795.864583333336</v>
      </c>
      <c r="G2768" s="3"/>
      <c r="H2768" s="3"/>
      <c r="I2768" s="3" t="s">
        <v>7043</v>
      </c>
      <c r="J2768" s="3"/>
      <c r="K2768" s="3"/>
      <c r="L2768" s="5" t="str">
        <f>HYPERLINK("NATIVE_FILES\FOIA-FWS-2020-00724-0002767.atx","FOIA-FWS-2020-00724-0002767.atx")</f>
        <v>FOIA-FWS-2020-00724-0002767.atx</v>
      </c>
    </row>
    <row r="2769" spans="1:12" ht="28.8" x14ac:dyDescent="0.55000000000000004">
      <c r="A2769" s="9" t="str">
        <f>HYPERLINK("PDF\FOIA-FWS-2020-00724-0002768.pdf","FOIA-FWS-2020-00724-0002768")</f>
        <v>FOIA-FWS-2020-00724-0002768</v>
      </c>
      <c r="B2769" s="3" t="s">
        <v>4562</v>
      </c>
      <c r="C2769" s="3" t="s">
        <v>234</v>
      </c>
      <c r="D2769" s="3" t="s">
        <v>160</v>
      </c>
      <c r="E2769" s="3" t="s">
        <v>4582</v>
      </c>
      <c r="F2769" s="4">
        <v>43795.864583333336</v>
      </c>
      <c r="G2769" s="3"/>
      <c r="H2769" s="3"/>
      <c r="I2769" s="3" t="s">
        <v>7043</v>
      </c>
      <c r="J2769" s="3"/>
      <c r="K2769" s="3"/>
      <c r="L2769" s="5" t="str">
        <f>HYPERLINK("NATIVE_FILES\FOIA-FWS-2020-00724-0002768.gdbindexes","FOIA-FWS-2020-00724-0002768.gdbindexes")</f>
        <v>FOIA-FWS-2020-00724-0002768.gdbindexes</v>
      </c>
    </row>
    <row r="2770" spans="1:12" ht="28.8" x14ac:dyDescent="0.55000000000000004">
      <c r="A2770" s="9" t="str">
        <f>HYPERLINK("PDF\FOIA-FWS-2020-00724-0002769.pdf","FOIA-FWS-2020-00724-0002769")</f>
        <v>FOIA-FWS-2020-00724-0002769</v>
      </c>
      <c r="B2770" s="3" t="s">
        <v>4562</v>
      </c>
      <c r="C2770" s="3" t="s">
        <v>234</v>
      </c>
      <c r="D2770" s="3" t="s">
        <v>160</v>
      </c>
      <c r="E2770" s="3" t="s">
        <v>4583</v>
      </c>
      <c r="F2770" s="4">
        <v>43795.864583333336</v>
      </c>
      <c r="G2770" s="3"/>
      <c r="H2770" s="3"/>
      <c r="I2770" s="3" t="s">
        <v>7043</v>
      </c>
      <c r="J2770" s="3"/>
      <c r="K2770" s="3"/>
      <c r="L2770" s="5" t="str">
        <f>HYPERLINK("NATIVE_FILES\FOIA-FWS-2020-00724-0002769.gdbtable","FOIA-FWS-2020-00724-0002769.gdbtable")</f>
        <v>FOIA-FWS-2020-00724-0002769.gdbtable</v>
      </c>
    </row>
    <row r="2771" spans="1:12" ht="28.8" x14ac:dyDescent="0.55000000000000004">
      <c r="A2771" s="9" t="str">
        <f>HYPERLINK("PDF\FOIA-FWS-2020-00724-0002770.pdf","FOIA-FWS-2020-00724-0002770")</f>
        <v>FOIA-FWS-2020-00724-0002770</v>
      </c>
      <c r="B2771" s="3" t="s">
        <v>4562</v>
      </c>
      <c r="C2771" s="3" t="s">
        <v>234</v>
      </c>
      <c r="D2771" s="3" t="s">
        <v>160</v>
      </c>
      <c r="E2771" s="3" t="s">
        <v>4584</v>
      </c>
      <c r="F2771" s="4">
        <v>43795.864583333336</v>
      </c>
      <c r="G2771" s="3"/>
      <c r="H2771" s="3"/>
      <c r="I2771" s="3" t="s">
        <v>7043</v>
      </c>
      <c r="J2771" s="3"/>
      <c r="K2771" s="3"/>
      <c r="L2771" s="5" t="str">
        <f>HYPERLINK("NATIVE_FILES\FOIA-FWS-2020-00724-0002770.gdbtablx","FOIA-FWS-2020-00724-0002770.gdbtablx")</f>
        <v>FOIA-FWS-2020-00724-0002770.gdbtablx</v>
      </c>
    </row>
    <row r="2772" spans="1:12" ht="28.8" x14ac:dyDescent="0.55000000000000004">
      <c r="A2772" s="9" t="str">
        <f>HYPERLINK("PDF\FOIA-FWS-2020-00724-0002771.pdf","FOIA-FWS-2020-00724-0002771")</f>
        <v>FOIA-FWS-2020-00724-0002771</v>
      </c>
      <c r="B2772" s="3" t="s">
        <v>4562</v>
      </c>
      <c r="C2772" s="3" t="s">
        <v>234</v>
      </c>
      <c r="D2772" s="3" t="s">
        <v>160</v>
      </c>
      <c r="E2772" s="3" t="s">
        <v>4585</v>
      </c>
      <c r="F2772" s="4">
        <v>43795.864583333336</v>
      </c>
      <c r="G2772" s="3"/>
      <c r="H2772" s="3"/>
      <c r="I2772" s="3" t="s">
        <v>7043</v>
      </c>
      <c r="J2772" s="3"/>
      <c r="K2772" s="3"/>
      <c r="L2772" s="5" t="str">
        <f>HYPERLINK("NATIVE_FILES\FOIA-FWS-2020-00724-0002771.atx","FOIA-FWS-2020-00724-0002771.atx")</f>
        <v>FOIA-FWS-2020-00724-0002771.atx</v>
      </c>
    </row>
    <row r="2773" spans="1:12" ht="28.8" x14ac:dyDescent="0.55000000000000004">
      <c r="A2773" s="9" t="str">
        <f>HYPERLINK("PDF\FOIA-FWS-2020-00724-0002772.pdf","FOIA-FWS-2020-00724-0002772")</f>
        <v>FOIA-FWS-2020-00724-0002772</v>
      </c>
      <c r="B2773" s="3" t="s">
        <v>4562</v>
      </c>
      <c r="C2773" s="3" t="s">
        <v>234</v>
      </c>
      <c r="D2773" s="3" t="s">
        <v>160</v>
      </c>
      <c r="E2773" s="3" t="s">
        <v>4586</v>
      </c>
      <c r="F2773" s="4">
        <v>43795.864583333336</v>
      </c>
      <c r="G2773" s="3"/>
      <c r="H2773" s="3"/>
      <c r="I2773" s="3" t="s">
        <v>7043</v>
      </c>
      <c r="J2773" s="3"/>
      <c r="K2773" s="3"/>
      <c r="L2773" s="5" t="str">
        <f>HYPERLINK("NATIVE_FILES\FOIA-FWS-2020-00724-0002772.atx","FOIA-FWS-2020-00724-0002772.atx")</f>
        <v>FOIA-FWS-2020-00724-0002772.atx</v>
      </c>
    </row>
    <row r="2774" spans="1:12" ht="28.8" x14ac:dyDescent="0.55000000000000004">
      <c r="A2774" s="9" t="str">
        <f>HYPERLINK("PDF\FOIA-FWS-2020-00724-0002773.pdf","FOIA-FWS-2020-00724-0002773")</f>
        <v>FOIA-FWS-2020-00724-0002773</v>
      </c>
      <c r="B2774" s="3" t="s">
        <v>4562</v>
      </c>
      <c r="C2774" s="3" t="s">
        <v>234</v>
      </c>
      <c r="D2774" s="3" t="s">
        <v>160</v>
      </c>
      <c r="E2774" s="3" t="s">
        <v>4587</v>
      </c>
      <c r="F2774" s="4">
        <v>43795.864583333336</v>
      </c>
      <c r="G2774" s="3"/>
      <c r="H2774" s="3"/>
      <c r="I2774" s="3" t="s">
        <v>7043</v>
      </c>
      <c r="J2774" s="3"/>
      <c r="K2774" s="3"/>
      <c r="L2774" s="5" t="str">
        <f>HYPERLINK("NATIVE_FILES\FOIA-FWS-2020-00724-0002773.atx","FOIA-FWS-2020-00724-0002773.atx")</f>
        <v>FOIA-FWS-2020-00724-0002773.atx</v>
      </c>
    </row>
    <row r="2775" spans="1:12" ht="28.8" x14ac:dyDescent="0.55000000000000004">
      <c r="A2775" s="9" t="str">
        <f>HYPERLINK("PDF\FOIA-FWS-2020-00724-0002774.pdf","FOIA-FWS-2020-00724-0002774")</f>
        <v>FOIA-FWS-2020-00724-0002774</v>
      </c>
      <c r="B2775" s="3" t="s">
        <v>4562</v>
      </c>
      <c r="C2775" s="3" t="s">
        <v>234</v>
      </c>
      <c r="D2775" s="3" t="s">
        <v>160</v>
      </c>
      <c r="E2775" s="3" t="s">
        <v>4588</v>
      </c>
      <c r="F2775" s="4">
        <v>43795.864583333336</v>
      </c>
      <c r="G2775" s="3"/>
      <c r="H2775" s="3"/>
      <c r="I2775" s="3" t="s">
        <v>7043</v>
      </c>
      <c r="J2775" s="3"/>
      <c r="K2775" s="3"/>
      <c r="L2775" s="5" t="str">
        <f>HYPERLINK("NATIVE_FILES\FOIA-FWS-2020-00724-0002774.atx","FOIA-FWS-2020-00724-0002774.atx")</f>
        <v>FOIA-FWS-2020-00724-0002774.atx</v>
      </c>
    </row>
    <row r="2776" spans="1:12" ht="28.8" x14ac:dyDescent="0.55000000000000004">
      <c r="A2776" s="9" t="str">
        <f>HYPERLINK("PDF\FOIA-FWS-2020-00724-0002775.pdf","FOIA-FWS-2020-00724-0002775")</f>
        <v>FOIA-FWS-2020-00724-0002775</v>
      </c>
      <c r="B2776" s="3" t="s">
        <v>4562</v>
      </c>
      <c r="C2776" s="3" t="s">
        <v>234</v>
      </c>
      <c r="D2776" s="3" t="s">
        <v>160</v>
      </c>
      <c r="E2776" s="3" t="s">
        <v>4589</v>
      </c>
      <c r="F2776" s="4">
        <v>43795.864583333336</v>
      </c>
      <c r="G2776" s="3"/>
      <c r="H2776" s="3"/>
      <c r="I2776" s="3" t="s">
        <v>7043</v>
      </c>
      <c r="J2776" s="3"/>
      <c r="K2776" s="3"/>
      <c r="L2776" s="5" t="str">
        <f>HYPERLINK("NATIVE_FILES\FOIA-FWS-2020-00724-0002775.atx","FOIA-FWS-2020-00724-0002775.atx")</f>
        <v>FOIA-FWS-2020-00724-0002775.atx</v>
      </c>
    </row>
    <row r="2777" spans="1:12" ht="28.8" x14ac:dyDescent="0.55000000000000004">
      <c r="A2777" s="9" t="str">
        <f>HYPERLINK("PDF\FOIA-FWS-2020-00724-0002776.pdf","FOIA-FWS-2020-00724-0002776")</f>
        <v>FOIA-FWS-2020-00724-0002776</v>
      </c>
      <c r="B2777" s="3" t="s">
        <v>4562</v>
      </c>
      <c r="C2777" s="3" t="s">
        <v>234</v>
      </c>
      <c r="D2777" s="3" t="s">
        <v>160</v>
      </c>
      <c r="E2777" s="3" t="s">
        <v>4590</v>
      </c>
      <c r="F2777" s="4">
        <v>43795.864583333336</v>
      </c>
      <c r="G2777" s="3"/>
      <c r="H2777" s="3"/>
      <c r="I2777" s="3" t="s">
        <v>7043</v>
      </c>
      <c r="J2777" s="3"/>
      <c r="K2777" s="3"/>
      <c r="L2777" s="5" t="str">
        <f>HYPERLINK("NATIVE_FILES\FOIA-FWS-2020-00724-0002776.atx","FOIA-FWS-2020-00724-0002776.atx")</f>
        <v>FOIA-FWS-2020-00724-0002776.atx</v>
      </c>
    </row>
    <row r="2778" spans="1:12" ht="28.8" x14ac:dyDescent="0.55000000000000004">
      <c r="A2778" s="9" t="str">
        <f>HYPERLINK("PDF\FOIA-FWS-2020-00724-0002777.pdf","FOIA-FWS-2020-00724-0002777")</f>
        <v>FOIA-FWS-2020-00724-0002777</v>
      </c>
      <c r="B2778" s="3" t="s">
        <v>4562</v>
      </c>
      <c r="C2778" s="3" t="s">
        <v>234</v>
      </c>
      <c r="D2778" s="3" t="s">
        <v>160</v>
      </c>
      <c r="E2778" s="3" t="s">
        <v>4591</v>
      </c>
      <c r="F2778" s="4">
        <v>43795.864583333336</v>
      </c>
      <c r="G2778" s="3"/>
      <c r="H2778" s="3"/>
      <c r="I2778" s="3" t="s">
        <v>7043</v>
      </c>
      <c r="J2778" s="3"/>
      <c r="K2778" s="3"/>
      <c r="L2778" s="5" t="str">
        <f>HYPERLINK("NATIVE_FILES\FOIA-FWS-2020-00724-0002777.gdbindexes","FOIA-FWS-2020-00724-0002777.gdbindexes")</f>
        <v>FOIA-FWS-2020-00724-0002777.gdbindexes</v>
      </c>
    </row>
    <row r="2779" spans="1:12" ht="28.8" x14ac:dyDescent="0.55000000000000004">
      <c r="A2779" s="9" t="str">
        <f>HYPERLINK("PDF\FOIA-FWS-2020-00724-0002778.pdf","FOIA-FWS-2020-00724-0002778")</f>
        <v>FOIA-FWS-2020-00724-0002778</v>
      </c>
      <c r="B2779" s="3" t="s">
        <v>4562</v>
      </c>
      <c r="C2779" s="3" t="s">
        <v>234</v>
      </c>
      <c r="D2779" s="3" t="s">
        <v>160</v>
      </c>
      <c r="E2779" s="3" t="s">
        <v>4592</v>
      </c>
      <c r="F2779" s="4">
        <v>43795.864583333336</v>
      </c>
      <c r="G2779" s="3"/>
      <c r="H2779" s="3"/>
      <c r="I2779" s="3" t="s">
        <v>7043</v>
      </c>
      <c r="J2779" s="3"/>
      <c r="K2779" s="3"/>
      <c r="L2779" s="5" t="str">
        <f>HYPERLINK("NATIVE_FILES\FOIA-FWS-2020-00724-0002778.gdbtable","FOIA-FWS-2020-00724-0002778.gdbtable")</f>
        <v>FOIA-FWS-2020-00724-0002778.gdbtable</v>
      </c>
    </row>
    <row r="2780" spans="1:12" ht="28.8" x14ac:dyDescent="0.55000000000000004">
      <c r="A2780" s="9" t="str">
        <f>HYPERLINK("PDF\FOIA-FWS-2020-00724-0002779.pdf","FOIA-FWS-2020-00724-0002779")</f>
        <v>FOIA-FWS-2020-00724-0002779</v>
      </c>
      <c r="B2780" s="3" t="s">
        <v>4562</v>
      </c>
      <c r="C2780" s="3" t="s">
        <v>234</v>
      </c>
      <c r="D2780" s="3" t="s">
        <v>160</v>
      </c>
      <c r="E2780" s="3" t="s">
        <v>4593</v>
      </c>
      <c r="F2780" s="4">
        <v>43795.864583333336</v>
      </c>
      <c r="G2780" s="3"/>
      <c r="H2780" s="3"/>
      <c r="I2780" s="3" t="s">
        <v>7043</v>
      </c>
      <c r="J2780" s="3"/>
      <c r="K2780" s="3"/>
      <c r="L2780" s="5" t="str">
        <f>HYPERLINK("NATIVE_FILES\FOIA-FWS-2020-00724-0002779.gdbtablx","FOIA-FWS-2020-00724-0002779.gdbtablx")</f>
        <v>FOIA-FWS-2020-00724-0002779.gdbtablx</v>
      </c>
    </row>
    <row r="2781" spans="1:12" ht="28.8" x14ac:dyDescent="0.55000000000000004">
      <c r="A2781" s="9" t="str">
        <f>HYPERLINK("PDF\FOIA-FWS-2020-00724-0002780.pdf","FOIA-FWS-2020-00724-0002780")</f>
        <v>FOIA-FWS-2020-00724-0002780</v>
      </c>
      <c r="B2781" s="3" t="s">
        <v>4562</v>
      </c>
      <c r="C2781" s="3" t="s">
        <v>234</v>
      </c>
      <c r="D2781" s="3" t="s">
        <v>160</v>
      </c>
      <c r="E2781" s="3" t="s">
        <v>4595</v>
      </c>
      <c r="F2781" s="4">
        <v>43795.864583333336</v>
      </c>
      <c r="G2781" s="3"/>
      <c r="H2781" s="3"/>
      <c r="I2781" s="3" t="s">
        <v>7043</v>
      </c>
      <c r="J2781" s="3"/>
      <c r="K2781" s="3"/>
      <c r="L2781" s="5" t="str">
        <f>HYPERLINK("NATIVE_FILES\FOIA-FWS-2020-00724-0002780.gdbindexes","FOIA-FWS-2020-00724-0002780.gdbindexes")</f>
        <v>FOIA-FWS-2020-00724-0002780.gdbindexes</v>
      </c>
    </row>
    <row r="2782" spans="1:12" ht="28.8" x14ac:dyDescent="0.55000000000000004">
      <c r="A2782" s="9" t="str">
        <f>HYPERLINK("PDF\FOIA-FWS-2020-00724-0002781.pdf","FOIA-FWS-2020-00724-0002781")</f>
        <v>FOIA-FWS-2020-00724-0002781</v>
      </c>
      <c r="B2782" s="3" t="s">
        <v>4562</v>
      </c>
      <c r="C2782" s="3" t="s">
        <v>234</v>
      </c>
      <c r="D2782" s="3" t="s">
        <v>160</v>
      </c>
      <c r="E2782" s="3" t="s">
        <v>4596</v>
      </c>
      <c r="F2782" s="4">
        <v>43795.864583333336</v>
      </c>
      <c r="G2782" s="3"/>
      <c r="H2782" s="3"/>
      <c r="I2782" s="3" t="s">
        <v>7043</v>
      </c>
      <c r="J2782" s="3"/>
      <c r="K2782" s="3"/>
      <c r="L2782" s="5" t="str">
        <f>HYPERLINK("NATIVE_FILES\FOIA-FWS-2020-00724-0002781.gdbtable","FOIA-FWS-2020-00724-0002781.gdbtable")</f>
        <v>FOIA-FWS-2020-00724-0002781.gdbtable</v>
      </c>
    </row>
    <row r="2783" spans="1:12" ht="28.8" x14ac:dyDescent="0.55000000000000004">
      <c r="A2783" s="9" t="str">
        <f>HYPERLINK("PDF\FOIA-FWS-2020-00724-0002782.pdf","FOIA-FWS-2020-00724-0002782")</f>
        <v>FOIA-FWS-2020-00724-0002782</v>
      </c>
      <c r="B2783" s="3" t="s">
        <v>4562</v>
      </c>
      <c r="C2783" s="3" t="s">
        <v>234</v>
      </c>
      <c r="D2783" s="3" t="s">
        <v>160</v>
      </c>
      <c r="E2783" s="3" t="s">
        <v>4597</v>
      </c>
      <c r="F2783" s="4">
        <v>43795.864583333336</v>
      </c>
      <c r="G2783" s="3"/>
      <c r="H2783" s="3"/>
      <c r="I2783" s="3" t="s">
        <v>7043</v>
      </c>
      <c r="J2783" s="3"/>
      <c r="K2783" s="3"/>
      <c r="L2783" s="5" t="str">
        <f>HYPERLINK("NATIVE_FILES\FOIA-FWS-2020-00724-0002782.gdbtablx","FOIA-FWS-2020-00724-0002782.gdbtablx")</f>
        <v>FOIA-FWS-2020-00724-0002782.gdbtablx</v>
      </c>
    </row>
    <row r="2784" spans="1:12" ht="28.8" x14ac:dyDescent="0.55000000000000004">
      <c r="A2784" s="9" t="str">
        <f>HYPERLINK("PDF\FOIA-FWS-2020-00724-0002783.pdf","FOIA-FWS-2020-00724-0002783")</f>
        <v>FOIA-FWS-2020-00724-0002783</v>
      </c>
      <c r="B2784" s="3" t="s">
        <v>4562</v>
      </c>
      <c r="C2784" s="3" t="s">
        <v>234</v>
      </c>
      <c r="D2784" s="3" t="s">
        <v>160</v>
      </c>
      <c r="E2784" s="3" t="s">
        <v>4598</v>
      </c>
      <c r="F2784" s="4">
        <v>43795.864583333336</v>
      </c>
      <c r="G2784" s="3"/>
      <c r="H2784" s="3"/>
      <c r="I2784" s="3" t="s">
        <v>7043</v>
      </c>
      <c r="J2784" s="3"/>
      <c r="K2784" s="3"/>
      <c r="L2784" s="5" t="str">
        <f>HYPERLINK("NATIVE_FILES\FOIA-FWS-2020-00724-0002783.spx","FOIA-FWS-2020-00724-0002783.spx")</f>
        <v>FOIA-FWS-2020-00724-0002783.spx</v>
      </c>
    </row>
    <row r="2785" spans="1:12" ht="28.8" x14ac:dyDescent="0.55000000000000004">
      <c r="A2785" s="9" t="str">
        <f>HYPERLINK("PDF\FOIA-FWS-2020-00724-0002784.pdf","FOIA-FWS-2020-00724-0002784")</f>
        <v>FOIA-FWS-2020-00724-0002784</v>
      </c>
      <c r="B2785" s="3" t="s">
        <v>4562</v>
      </c>
      <c r="C2785" s="3" t="s">
        <v>234</v>
      </c>
      <c r="D2785" s="3" t="s">
        <v>160</v>
      </c>
      <c r="E2785" s="3" t="s">
        <v>4599</v>
      </c>
      <c r="F2785" s="4">
        <v>43795.864583333336</v>
      </c>
      <c r="G2785" s="3"/>
      <c r="H2785" s="3"/>
      <c r="I2785" s="3" t="s">
        <v>7043</v>
      </c>
      <c r="J2785" s="3"/>
      <c r="K2785" s="3"/>
      <c r="L2785" s="5" t="str">
        <f>HYPERLINK("NATIVE_FILES\FOIA-FWS-2020-00724-0002784.lyrx","FOIA-FWS-2020-00724-0002784.lyrx")</f>
        <v>FOIA-FWS-2020-00724-0002784.lyrx</v>
      </c>
    </row>
    <row r="2786" spans="1:12" ht="28.8" x14ac:dyDescent="0.55000000000000004">
      <c r="A2786" s="9" t="str">
        <f>HYPERLINK("PDF\FOIA-FWS-2020-00724-0002785.pdf","FOIA-FWS-2020-00724-0002785")</f>
        <v>FOIA-FWS-2020-00724-0002785</v>
      </c>
      <c r="B2786" s="3" t="s">
        <v>4562</v>
      </c>
      <c r="C2786" s="3" t="s">
        <v>234</v>
      </c>
      <c r="D2786" s="3" t="s">
        <v>160</v>
      </c>
      <c r="E2786" s="3" t="s">
        <v>4226</v>
      </c>
      <c r="F2786" s="4">
        <v>43795.864583333336</v>
      </c>
      <c r="G2786" s="3"/>
      <c r="H2786" s="3"/>
      <c r="I2786" s="3" t="s">
        <v>7043</v>
      </c>
      <c r="J2786" s="3"/>
      <c r="K2786" s="3"/>
      <c r="L2786" s="5" t="str">
        <f>HYPERLINK("NATIVE_FILES\FOIA-FWS-2020-00724-0002785.gdbindexes","FOIA-FWS-2020-00724-0002785.gdbindexes")</f>
        <v>FOIA-FWS-2020-00724-0002785.gdbindexes</v>
      </c>
    </row>
    <row r="2787" spans="1:12" ht="28.8" x14ac:dyDescent="0.55000000000000004">
      <c r="A2787" s="9" t="str">
        <f>HYPERLINK("PDF\FOIA-FWS-2020-00724-0002786.pdf","FOIA-FWS-2020-00724-0002786")</f>
        <v>FOIA-FWS-2020-00724-0002786</v>
      </c>
      <c r="B2787" s="3" t="s">
        <v>4562</v>
      </c>
      <c r="C2787" s="3" t="s">
        <v>234</v>
      </c>
      <c r="D2787" s="3" t="s">
        <v>160</v>
      </c>
      <c r="E2787" s="3" t="s">
        <v>4227</v>
      </c>
      <c r="F2787" s="4">
        <v>43795.864583333336</v>
      </c>
      <c r="G2787" s="3"/>
      <c r="H2787" s="3"/>
      <c r="I2787" s="3" t="s">
        <v>7043</v>
      </c>
      <c r="J2787" s="3"/>
      <c r="K2787" s="3"/>
      <c r="L2787" s="5" t="str">
        <f>HYPERLINK("NATIVE_FILES\FOIA-FWS-2020-00724-0002786.gdbtable","FOIA-FWS-2020-00724-0002786.gdbtable")</f>
        <v>FOIA-FWS-2020-00724-0002786.gdbtable</v>
      </c>
    </row>
    <row r="2788" spans="1:12" ht="28.8" x14ac:dyDescent="0.55000000000000004">
      <c r="A2788" s="9" t="str">
        <f>HYPERLINK("PDF\FOIA-FWS-2020-00724-0002787.pdf","FOIA-FWS-2020-00724-0002787")</f>
        <v>FOIA-FWS-2020-00724-0002787</v>
      </c>
      <c r="B2788" s="3" t="s">
        <v>4562</v>
      </c>
      <c r="C2788" s="3" t="s">
        <v>234</v>
      </c>
      <c r="D2788" s="3" t="s">
        <v>160</v>
      </c>
      <c r="E2788" s="3" t="s">
        <v>4228</v>
      </c>
      <c r="F2788" s="4">
        <v>43795.864583333336</v>
      </c>
      <c r="G2788" s="3"/>
      <c r="H2788" s="3"/>
      <c r="I2788" s="3" t="s">
        <v>7043</v>
      </c>
      <c r="J2788" s="3"/>
      <c r="K2788" s="3"/>
      <c r="L2788" s="5" t="str">
        <f>HYPERLINK("NATIVE_FILES\FOIA-FWS-2020-00724-0002787.gdbtablx","FOIA-FWS-2020-00724-0002787.gdbtablx")</f>
        <v>FOIA-FWS-2020-00724-0002787.gdbtablx</v>
      </c>
    </row>
    <row r="2789" spans="1:12" ht="28.8" x14ac:dyDescent="0.55000000000000004">
      <c r="A2789" s="9" t="str">
        <f>HYPERLINK("PDF\FOIA-FWS-2020-00724-0002788.pdf","FOIA-FWS-2020-00724-0002788")</f>
        <v>FOIA-FWS-2020-00724-0002788</v>
      </c>
      <c r="B2789" s="3" t="s">
        <v>4562</v>
      </c>
      <c r="C2789" s="3" t="s">
        <v>234</v>
      </c>
      <c r="D2789" s="3" t="s">
        <v>160</v>
      </c>
      <c r="E2789" s="3" t="s">
        <v>4229</v>
      </c>
      <c r="F2789" s="4">
        <v>43795.864583333336</v>
      </c>
      <c r="G2789" s="3"/>
      <c r="H2789" s="3"/>
      <c r="I2789" s="3" t="s">
        <v>7043</v>
      </c>
      <c r="J2789" s="3"/>
      <c r="K2789" s="3"/>
      <c r="L2789" s="5" t="str">
        <f>HYPERLINK("NATIVE_FILES\FOIA-FWS-2020-00724-0002788.atx","FOIA-FWS-2020-00724-0002788.atx")</f>
        <v>FOIA-FWS-2020-00724-0002788.atx</v>
      </c>
    </row>
    <row r="2790" spans="1:12" ht="28.8" x14ac:dyDescent="0.55000000000000004">
      <c r="A2790" s="9" t="str">
        <f>HYPERLINK("PDF\FOIA-FWS-2020-00724-0002789.pdf","FOIA-FWS-2020-00724-0002789")</f>
        <v>FOIA-FWS-2020-00724-0002789</v>
      </c>
      <c r="B2790" s="3" t="s">
        <v>4562</v>
      </c>
      <c r="C2790" s="3" t="s">
        <v>234</v>
      </c>
      <c r="D2790" s="3" t="s">
        <v>160</v>
      </c>
      <c r="E2790" s="3" t="s">
        <v>4230</v>
      </c>
      <c r="F2790" s="4">
        <v>43795.864583333336</v>
      </c>
      <c r="G2790" s="3"/>
      <c r="H2790" s="3"/>
      <c r="I2790" s="3" t="s">
        <v>7043</v>
      </c>
      <c r="J2790" s="3"/>
      <c r="K2790" s="3"/>
      <c r="L2790" s="5" t="str">
        <f>HYPERLINK("NATIVE_FILES\FOIA-FWS-2020-00724-0002789.gdbtable","FOIA-FWS-2020-00724-0002789.gdbtable")</f>
        <v>FOIA-FWS-2020-00724-0002789.gdbtable</v>
      </c>
    </row>
    <row r="2791" spans="1:12" ht="28.8" x14ac:dyDescent="0.55000000000000004">
      <c r="A2791" s="9" t="str">
        <f>HYPERLINK("PDF\FOIA-FWS-2020-00724-0002790.pdf","FOIA-FWS-2020-00724-0002790")</f>
        <v>FOIA-FWS-2020-00724-0002790</v>
      </c>
      <c r="B2791" s="3" t="s">
        <v>4562</v>
      </c>
      <c r="C2791" s="3" t="s">
        <v>234</v>
      </c>
      <c r="D2791" s="3" t="s">
        <v>160</v>
      </c>
      <c r="E2791" s="3" t="s">
        <v>4231</v>
      </c>
      <c r="F2791" s="4">
        <v>43795.864583333336</v>
      </c>
      <c r="G2791" s="3"/>
      <c r="H2791" s="3"/>
      <c r="I2791" s="3" t="s">
        <v>7043</v>
      </c>
      <c r="J2791" s="3"/>
      <c r="K2791" s="3"/>
      <c r="L2791" s="5" t="str">
        <f>HYPERLINK("NATIVE_FILES\FOIA-FWS-2020-00724-0002790.gdbtablx","FOIA-FWS-2020-00724-0002790.gdbtablx")</f>
        <v>FOIA-FWS-2020-00724-0002790.gdbtablx</v>
      </c>
    </row>
    <row r="2792" spans="1:12" ht="28.8" x14ac:dyDescent="0.55000000000000004">
      <c r="A2792" s="9" t="str">
        <f>HYPERLINK("PDF\FOIA-FWS-2020-00724-0002791.pdf","FOIA-FWS-2020-00724-0002791")</f>
        <v>FOIA-FWS-2020-00724-0002791</v>
      </c>
      <c r="B2792" s="3" t="s">
        <v>4562</v>
      </c>
      <c r="C2792" s="3" t="s">
        <v>234</v>
      </c>
      <c r="D2792" s="3" t="s">
        <v>160</v>
      </c>
      <c r="E2792" s="3" t="s">
        <v>4236</v>
      </c>
      <c r="F2792" s="4">
        <v>43795.864583333336</v>
      </c>
      <c r="G2792" s="3"/>
      <c r="H2792" s="3"/>
      <c r="I2792" s="3" t="s">
        <v>7043</v>
      </c>
      <c r="J2792" s="3"/>
      <c r="K2792" s="3"/>
      <c r="L2792" s="5" t="str">
        <f>HYPERLINK("NATIVE_FILES\FOIA-FWS-2020-00724-0002791.gdbindexes","FOIA-FWS-2020-00724-0002791.gdbindexes")</f>
        <v>FOIA-FWS-2020-00724-0002791.gdbindexes</v>
      </c>
    </row>
    <row r="2793" spans="1:12" ht="28.8" x14ac:dyDescent="0.55000000000000004">
      <c r="A2793" s="9" t="str">
        <f>HYPERLINK("PDF\FOIA-FWS-2020-00724-0002792.pdf","FOIA-FWS-2020-00724-0002792")</f>
        <v>FOIA-FWS-2020-00724-0002792</v>
      </c>
      <c r="B2793" s="3" t="s">
        <v>4562</v>
      </c>
      <c r="C2793" s="3" t="s">
        <v>234</v>
      </c>
      <c r="D2793" s="3" t="s">
        <v>160</v>
      </c>
      <c r="E2793" s="3" t="s">
        <v>4237</v>
      </c>
      <c r="F2793" s="4">
        <v>43795.864583333336</v>
      </c>
      <c r="G2793" s="3"/>
      <c r="H2793" s="3"/>
      <c r="I2793" s="3" t="s">
        <v>7043</v>
      </c>
      <c r="J2793" s="3"/>
      <c r="K2793" s="3"/>
      <c r="L2793" s="5" t="str">
        <f>HYPERLINK("NATIVE_FILES\FOIA-FWS-2020-00724-0002792.gdbtable","FOIA-FWS-2020-00724-0002792.gdbtable")</f>
        <v>FOIA-FWS-2020-00724-0002792.gdbtable</v>
      </c>
    </row>
    <row r="2794" spans="1:12" ht="28.8" x14ac:dyDescent="0.55000000000000004">
      <c r="A2794" s="9" t="str">
        <f>HYPERLINK("PDF\FOIA-FWS-2020-00724-0002793.pdf","FOIA-FWS-2020-00724-0002793")</f>
        <v>FOIA-FWS-2020-00724-0002793</v>
      </c>
      <c r="B2794" s="3" t="s">
        <v>4562</v>
      </c>
      <c r="C2794" s="3" t="s">
        <v>234</v>
      </c>
      <c r="D2794" s="3" t="s">
        <v>160</v>
      </c>
      <c r="E2794" s="3" t="s">
        <v>4238</v>
      </c>
      <c r="F2794" s="4">
        <v>43795.864583333336</v>
      </c>
      <c r="G2794" s="3"/>
      <c r="H2794" s="3"/>
      <c r="I2794" s="3" t="s">
        <v>7043</v>
      </c>
      <c r="J2794" s="3"/>
      <c r="K2794" s="3"/>
      <c r="L2794" s="5" t="str">
        <f>HYPERLINK("NATIVE_FILES\FOIA-FWS-2020-00724-0002793.gdbtablx","FOIA-FWS-2020-00724-0002793.gdbtablx")</f>
        <v>FOIA-FWS-2020-00724-0002793.gdbtablx</v>
      </c>
    </row>
    <row r="2795" spans="1:12" ht="28.8" x14ac:dyDescent="0.55000000000000004">
      <c r="A2795" s="9" t="str">
        <f>HYPERLINK("PDF\FOIA-FWS-2020-00724-0002794.pdf","FOIA-FWS-2020-00724-0002794")</f>
        <v>FOIA-FWS-2020-00724-0002794</v>
      </c>
      <c r="B2795" s="3" t="s">
        <v>4562</v>
      </c>
      <c r="C2795" s="3" t="s">
        <v>234</v>
      </c>
      <c r="D2795" s="3" t="s">
        <v>160</v>
      </c>
      <c r="E2795" s="3" t="s">
        <v>4565</v>
      </c>
      <c r="F2795" s="4">
        <v>43795.864583333336</v>
      </c>
      <c r="G2795" s="3"/>
      <c r="H2795" s="3"/>
      <c r="I2795" s="3" t="s">
        <v>7043</v>
      </c>
      <c r="J2795" s="3"/>
      <c r="K2795" s="3"/>
      <c r="L2795" s="5" t="str">
        <f>HYPERLINK("NATIVE_FILES\FOIA-FWS-2020-00724-0002794.atx","FOIA-FWS-2020-00724-0002794.atx")</f>
        <v>FOIA-FWS-2020-00724-0002794.atx</v>
      </c>
    </row>
    <row r="2796" spans="1:12" ht="28.8" x14ac:dyDescent="0.55000000000000004">
      <c r="A2796" s="9" t="str">
        <f>HYPERLINK("PDF\FOIA-FWS-2020-00724-0002795.pdf","FOIA-FWS-2020-00724-0002795")</f>
        <v>FOIA-FWS-2020-00724-0002795</v>
      </c>
      <c r="B2796" s="3" t="s">
        <v>4562</v>
      </c>
      <c r="C2796" s="3" t="s">
        <v>234</v>
      </c>
      <c r="D2796" s="3" t="s">
        <v>160</v>
      </c>
      <c r="E2796" s="3" t="s">
        <v>4566</v>
      </c>
      <c r="F2796" s="4">
        <v>43795.864583333336</v>
      </c>
      <c r="G2796" s="3"/>
      <c r="H2796" s="3"/>
      <c r="I2796" s="3" t="s">
        <v>7043</v>
      </c>
      <c r="J2796" s="3"/>
      <c r="K2796" s="3"/>
      <c r="L2796" s="5" t="str">
        <f>HYPERLINK("NATIVE_FILES\FOIA-FWS-2020-00724-0002795.atx","FOIA-FWS-2020-00724-0002795.atx")</f>
        <v>FOIA-FWS-2020-00724-0002795.atx</v>
      </c>
    </row>
    <row r="2797" spans="1:12" ht="28.8" x14ac:dyDescent="0.55000000000000004">
      <c r="A2797" s="9" t="str">
        <f>HYPERLINK("PDF\FOIA-FWS-2020-00724-0002796.pdf","FOIA-FWS-2020-00724-0002796")</f>
        <v>FOIA-FWS-2020-00724-0002796</v>
      </c>
      <c r="B2797" s="3" t="s">
        <v>4562</v>
      </c>
      <c r="C2797" s="3" t="s">
        <v>234</v>
      </c>
      <c r="D2797" s="3" t="s">
        <v>160</v>
      </c>
      <c r="E2797" s="3" t="s">
        <v>4567</v>
      </c>
      <c r="F2797" s="4">
        <v>43795.864583333336</v>
      </c>
      <c r="G2797" s="3"/>
      <c r="H2797" s="3"/>
      <c r="I2797" s="3" t="s">
        <v>7043</v>
      </c>
      <c r="J2797" s="3"/>
      <c r="K2797" s="3"/>
      <c r="L2797" s="5" t="str">
        <f>HYPERLINK("NATIVE_FILES\FOIA-FWS-2020-00724-0002796.atx","FOIA-FWS-2020-00724-0002796.atx")</f>
        <v>FOIA-FWS-2020-00724-0002796.atx</v>
      </c>
    </row>
    <row r="2798" spans="1:12" ht="28.8" x14ac:dyDescent="0.55000000000000004">
      <c r="A2798" s="9" t="str">
        <f>HYPERLINK("PDF\FOIA-FWS-2020-00724-0002797.pdf","FOIA-FWS-2020-00724-0002797")</f>
        <v>FOIA-FWS-2020-00724-0002797</v>
      </c>
      <c r="B2798" s="3" t="s">
        <v>4562</v>
      </c>
      <c r="C2798" s="3" t="s">
        <v>234</v>
      </c>
      <c r="D2798" s="3" t="s">
        <v>160</v>
      </c>
      <c r="E2798" s="3" t="s">
        <v>4568</v>
      </c>
      <c r="F2798" s="4">
        <v>43795.864583333336</v>
      </c>
      <c r="G2798" s="3"/>
      <c r="H2798" s="3"/>
      <c r="I2798" s="3" t="s">
        <v>7043</v>
      </c>
      <c r="J2798" s="3"/>
      <c r="K2798" s="3"/>
      <c r="L2798" s="5" t="str">
        <f>HYPERLINK("NATIVE_FILES\FOIA-FWS-2020-00724-0002797.gdbindexes","FOIA-FWS-2020-00724-0002797.gdbindexes")</f>
        <v>FOIA-FWS-2020-00724-0002797.gdbindexes</v>
      </c>
    </row>
    <row r="2799" spans="1:12" ht="28.8" x14ac:dyDescent="0.55000000000000004">
      <c r="A2799" s="9" t="str">
        <f>HYPERLINK("PDF\FOIA-FWS-2020-00724-0002798.pdf","FOIA-FWS-2020-00724-0002798")</f>
        <v>FOIA-FWS-2020-00724-0002798</v>
      </c>
      <c r="B2799" s="3" t="s">
        <v>4562</v>
      </c>
      <c r="C2799" s="3" t="s">
        <v>234</v>
      </c>
      <c r="D2799" s="3" t="s">
        <v>160</v>
      </c>
      <c r="E2799" s="3" t="s">
        <v>4569</v>
      </c>
      <c r="F2799" s="4">
        <v>43795.864583333336</v>
      </c>
      <c r="G2799" s="3"/>
      <c r="H2799" s="3"/>
      <c r="I2799" s="3" t="s">
        <v>7043</v>
      </c>
      <c r="J2799" s="3"/>
      <c r="K2799" s="3"/>
      <c r="L2799" s="5" t="str">
        <f>HYPERLINK("NATIVE_FILES\FOIA-FWS-2020-00724-0002798.gdbtable","FOIA-FWS-2020-00724-0002798.gdbtable")</f>
        <v>FOIA-FWS-2020-00724-0002798.gdbtable</v>
      </c>
    </row>
    <row r="2800" spans="1:12" ht="28.8" x14ac:dyDescent="0.55000000000000004">
      <c r="A2800" s="9" t="str">
        <f>HYPERLINK("PDF\FOIA-FWS-2020-00724-0002799.pdf","FOIA-FWS-2020-00724-0002799")</f>
        <v>FOIA-FWS-2020-00724-0002799</v>
      </c>
      <c r="B2800" s="3" t="s">
        <v>4562</v>
      </c>
      <c r="C2800" s="3" t="s">
        <v>234</v>
      </c>
      <c r="D2800" s="3" t="s">
        <v>160</v>
      </c>
      <c r="E2800" s="3" t="s">
        <v>4570</v>
      </c>
      <c r="F2800" s="4">
        <v>43795.864583333336</v>
      </c>
      <c r="G2800" s="3"/>
      <c r="H2800" s="3"/>
      <c r="I2800" s="3" t="s">
        <v>7043</v>
      </c>
      <c r="J2800" s="3"/>
      <c r="K2800" s="3"/>
      <c r="L2800" s="5" t="str">
        <f>HYPERLINK("NATIVE_FILES\FOIA-FWS-2020-00724-0002799.gdbtablx","FOIA-FWS-2020-00724-0002799.gdbtablx")</f>
        <v>FOIA-FWS-2020-00724-0002799.gdbtablx</v>
      </c>
    </row>
    <row r="2801" spans="1:12" ht="28.8" x14ac:dyDescent="0.55000000000000004">
      <c r="A2801" s="9" t="str">
        <f>HYPERLINK("PDF\FOIA-FWS-2020-00724-0002800.pdf","FOIA-FWS-2020-00724-0002800")</f>
        <v>FOIA-FWS-2020-00724-0002800</v>
      </c>
      <c r="B2801" s="3" t="s">
        <v>4562</v>
      </c>
      <c r="C2801" s="3" t="s">
        <v>234</v>
      </c>
      <c r="D2801" s="3" t="s">
        <v>160</v>
      </c>
      <c r="E2801" s="3" t="s">
        <v>4571</v>
      </c>
      <c r="F2801" s="4">
        <v>43795.864583333336</v>
      </c>
      <c r="G2801" s="3"/>
      <c r="H2801" s="3"/>
      <c r="I2801" s="3" t="s">
        <v>7043</v>
      </c>
      <c r="J2801" s="3"/>
      <c r="K2801" s="3"/>
      <c r="L2801" s="5" t="str">
        <f>HYPERLINK("NATIVE_FILES\FOIA-FWS-2020-00724-0002800.spx","FOIA-FWS-2020-00724-0002800.spx")</f>
        <v>FOIA-FWS-2020-00724-0002800.spx</v>
      </c>
    </row>
    <row r="2802" spans="1:12" ht="28.8" x14ac:dyDescent="0.55000000000000004">
      <c r="A2802" s="9" t="str">
        <f>HYPERLINK("PDF\FOIA-FWS-2020-00724-0002801.pdf","FOIA-FWS-2020-00724-0002801")</f>
        <v>FOIA-FWS-2020-00724-0002801</v>
      </c>
      <c r="B2802" s="3" t="s">
        <v>4562</v>
      </c>
      <c r="C2802" s="3" t="s">
        <v>234</v>
      </c>
      <c r="D2802" s="3" t="s">
        <v>160</v>
      </c>
      <c r="E2802" s="3" t="s">
        <v>4572</v>
      </c>
      <c r="F2802" s="4">
        <v>43795.864583333336</v>
      </c>
      <c r="G2802" s="3"/>
      <c r="H2802" s="3"/>
      <c r="I2802" s="3" t="s">
        <v>7043</v>
      </c>
      <c r="J2802" s="3"/>
      <c r="K2802" s="3"/>
      <c r="L2802" s="5" t="str">
        <f>HYPERLINK("NATIVE_FILES\FOIA-FWS-2020-00724-0002801.atx","FOIA-FWS-2020-00724-0002801.atx")</f>
        <v>FOIA-FWS-2020-00724-0002801.atx</v>
      </c>
    </row>
    <row r="2803" spans="1:12" ht="28.8" x14ac:dyDescent="0.55000000000000004">
      <c r="A2803" s="9" t="str">
        <f>HYPERLINK("PDF\FOIA-FWS-2020-00724-0002802.pdf","FOIA-FWS-2020-00724-0002802")</f>
        <v>FOIA-FWS-2020-00724-0002802</v>
      </c>
      <c r="B2803" s="3" t="s">
        <v>4562</v>
      </c>
      <c r="C2803" s="3" t="s">
        <v>234</v>
      </c>
      <c r="D2803" s="3" t="s">
        <v>160</v>
      </c>
      <c r="E2803" s="3" t="s">
        <v>4573</v>
      </c>
      <c r="F2803" s="4">
        <v>43795.864583333336</v>
      </c>
      <c r="G2803" s="3"/>
      <c r="H2803" s="3"/>
      <c r="I2803" s="3" t="s">
        <v>7043</v>
      </c>
      <c r="J2803" s="3"/>
      <c r="K2803" s="3"/>
      <c r="L2803" s="5" t="str">
        <f>HYPERLINK("NATIVE_FILES\FOIA-FWS-2020-00724-0002802.atx","FOIA-FWS-2020-00724-0002802.atx")</f>
        <v>FOIA-FWS-2020-00724-0002802.atx</v>
      </c>
    </row>
    <row r="2804" spans="1:12" ht="28.8" x14ac:dyDescent="0.55000000000000004">
      <c r="A2804" s="9" t="str">
        <f>HYPERLINK("PDF\FOIA-FWS-2020-00724-0002803.pdf","FOIA-FWS-2020-00724-0002803")</f>
        <v>FOIA-FWS-2020-00724-0002803</v>
      </c>
      <c r="B2804" s="3" t="s">
        <v>4562</v>
      </c>
      <c r="C2804" s="3" t="s">
        <v>234</v>
      </c>
      <c r="D2804" s="3" t="s">
        <v>160</v>
      </c>
      <c r="E2804" s="3" t="s">
        <v>4574</v>
      </c>
      <c r="F2804" s="4">
        <v>43795.864583333336</v>
      </c>
      <c r="G2804" s="3"/>
      <c r="H2804" s="3"/>
      <c r="I2804" s="3" t="s">
        <v>7043</v>
      </c>
      <c r="J2804" s="3"/>
      <c r="K2804" s="3"/>
      <c r="L2804" s="5" t="str">
        <f>HYPERLINK("NATIVE_FILES\FOIA-FWS-2020-00724-0002803.atx","FOIA-FWS-2020-00724-0002803.atx")</f>
        <v>FOIA-FWS-2020-00724-0002803.atx</v>
      </c>
    </row>
    <row r="2805" spans="1:12" ht="28.8" x14ac:dyDescent="0.55000000000000004">
      <c r="A2805" s="9" t="str">
        <f>HYPERLINK("PDF\FOIA-FWS-2020-00724-0002804.pdf","FOIA-FWS-2020-00724-0002804")</f>
        <v>FOIA-FWS-2020-00724-0002804</v>
      </c>
      <c r="B2805" s="3" t="s">
        <v>4562</v>
      </c>
      <c r="C2805" s="3" t="s">
        <v>234</v>
      </c>
      <c r="D2805" s="3" t="s">
        <v>160</v>
      </c>
      <c r="E2805" s="3" t="s">
        <v>4575</v>
      </c>
      <c r="F2805" s="4">
        <v>43795.864583333336</v>
      </c>
      <c r="G2805" s="3"/>
      <c r="H2805" s="3"/>
      <c r="I2805" s="3" t="s">
        <v>7043</v>
      </c>
      <c r="J2805" s="3"/>
      <c r="K2805" s="3"/>
      <c r="L2805" s="5" t="str">
        <f>HYPERLINK("NATIVE_FILES\FOIA-FWS-2020-00724-0002804.gdbindexes","FOIA-FWS-2020-00724-0002804.gdbindexes")</f>
        <v>FOIA-FWS-2020-00724-0002804.gdbindexes</v>
      </c>
    </row>
    <row r="2806" spans="1:12" ht="28.8" x14ac:dyDescent="0.55000000000000004">
      <c r="A2806" s="9" t="str">
        <f>HYPERLINK("PDF\FOIA-FWS-2020-00724-0002805.pdf","FOIA-FWS-2020-00724-0002805")</f>
        <v>FOIA-FWS-2020-00724-0002805</v>
      </c>
      <c r="B2806" s="3" t="s">
        <v>4562</v>
      </c>
      <c r="C2806" s="3" t="s">
        <v>234</v>
      </c>
      <c r="D2806" s="3" t="s">
        <v>160</v>
      </c>
      <c r="E2806" s="3" t="s">
        <v>4576</v>
      </c>
      <c r="F2806" s="4">
        <v>43795.864583333336</v>
      </c>
      <c r="G2806" s="3"/>
      <c r="H2806" s="3"/>
      <c r="I2806" s="3" t="s">
        <v>7043</v>
      </c>
      <c r="J2806" s="3"/>
      <c r="K2806" s="3"/>
      <c r="L2806" s="5" t="str">
        <f>HYPERLINK("NATIVE_FILES\FOIA-FWS-2020-00724-0002805.gdbtable","FOIA-FWS-2020-00724-0002805.gdbtable")</f>
        <v>FOIA-FWS-2020-00724-0002805.gdbtable</v>
      </c>
    </row>
    <row r="2807" spans="1:12" ht="28.8" x14ac:dyDescent="0.55000000000000004">
      <c r="A2807" s="9" t="str">
        <f>HYPERLINK("PDF\FOIA-FWS-2020-00724-0002806.pdf","FOIA-FWS-2020-00724-0002806")</f>
        <v>FOIA-FWS-2020-00724-0002806</v>
      </c>
      <c r="B2807" s="3" t="s">
        <v>4562</v>
      </c>
      <c r="C2807" s="3" t="s">
        <v>234</v>
      </c>
      <c r="D2807" s="3" t="s">
        <v>160</v>
      </c>
      <c r="E2807" s="3" t="s">
        <v>4577</v>
      </c>
      <c r="F2807" s="4">
        <v>43795.864583333336</v>
      </c>
      <c r="G2807" s="3"/>
      <c r="H2807" s="3"/>
      <c r="I2807" s="3" t="s">
        <v>7043</v>
      </c>
      <c r="J2807" s="3"/>
      <c r="K2807" s="3"/>
      <c r="L2807" s="5" t="str">
        <f>HYPERLINK("NATIVE_FILES\FOIA-FWS-2020-00724-0002806.gdbtablx","FOIA-FWS-2020-00724-0002806.gdbtablx")</f>
        <v>FOIA-FWS-2020-00724-0002806.gdbtablx</v>
      </c>
    </row>
    <row r="2808" spans="1:12" ht="28.8" x14ac:dyDescent="0.55000000000000004">
      <c r="A2808" s="9" t="str">
        <f>HYPERLINK("PDF\FOIA-FWS-2020-00724-0002807.pdf","FOIA-FWS-2020-00724-0002807")</f>
        <v>FOIA-FWS-2020-00724-0002807</v>
      </c>
      <c r="B2808" s="3" t="s">
        <v>4562</v>
      </c>
      <c r="C2808" s="3" t="s">
        <v>234</v>
      </c>
      <c r="D2808" s="3" t="s">
        <v>160</v>
      </c>
      <c r="E2808" s="3" t="s">
        <v>4578</v>
      </c>
      <c r="F2808" s="4">
        <v>43795.864583333336</v>
      </c>
      <c r="G2808" s="3"/>
      <c r="H2808" s="3"/>
      <c r="I2808" s="3" t="s">
        <v>7043</v>
      </c>
      <c r="J2808" s="3"/>
      <c r="K2808" s="3"/>
      <c r="L2808" s="5" t="str">
        <f>HYPERLINK("NATIVE_FILES\FOIA-FWS-2020-00724-0002807.atx","FOIA-FWS-2020-00724-0002807.atx")</f>
        <v>FOIA-FWS-2020-00724-0002807.atx</v>
      </c>
    </row>
    <row r="2809" spans="1:12" ht="28.8" x14ac:dyDescent="0.55000000000000004">
      <c r="A2809" s="9" t="str">
        <f>HYPERLINK("PDF\FOIA-FWS-2020-00724-0002808.pdf","FOIA-FWS-2020-00724-0002808")</f>
        <v>FOIA-FWS-2020-00724-0002808</v>
      </c>
      <c r="B2809" s="3" t="s">
        <v>4562</v>
      </c>
      <c r="C2809" s="3" t="s">
        <v>234</v>
      </c>
      <c r="D2809" s="3" t="s">
        <v>160</v>
      </c>
      <c r="E2809" s="3" t="s">
        <v>4579</v>
      </c>
      <c r="F2809" s="4">
        <v>43795.864583333336</v>
      </c>
      <c r="G2809" s="3"/>
      <c r="H2809" s="3"/>
      <c r="I2809" s="3" t="s">
        <v>7043</v>
      </c>
      <c r="J2809" s="3"/>
      <c r="K2809" s="3"/>
      <c r="L2809" s="5" t="str">
        <f>HYPERLINK("NATIVE_FILES\FOIA-FWS-2020-00724-0002808.atx","FOIA-FWS-2020-00724-0002808.atx")</f>
        <v>FOIA-FWS-2020-00724-0002808.atx</v>
      </c>
    </row>
    <row r="2810" spans="1:12" ht="28.8" x14ac:dyDescent="0.55000000000000004">
      <c r="A2810" s="9" t="str">
        <f>HYPERLINK("PDF\FOIA-FWS-2020-00724-0002809.pdf","FOIA-FWS-2020-00724-0002809")</f>
        <v>FOIA-FWS-2020-00724-0002809</v>
      </c>
      <c r="B2810" s="3" t="s">
        <v>4562</v>
      </c>
      <c r="C2810" s="3" t="s">
        <v>234</v>
      </c>
      <c r="D2810" s="3" t="s">
        <v>160</v>
      </c>
      <c r="E2810" s="3" t="s">
        <v>4580</v>
      </c>
      <c r="F2810" s="4">
        <v>43795.864583333336</v>
      </c>
      <c r="G2810" s="3"/>
      <c r="H2810" s="3"/>
      <c r="I2810" s="3" t="s">
        <v>7043</v>
      </c>
      <c r="J2810" s="3"/>
      <c r="K2810" s="3"/>
      <c r="L2810" s="5" t="str">
        <f>HYPERLINK("NATIVE_FILES\FOIA-FWS-2020-00724-0002809.atx","FOIA-FWS-2020-00724-0002809.atx")</f>
        <v>FOIA-FWS-2020-00724-0002809.atx</v>
      </c>
    </row>
    <row r="2811" spans="1:12" ht="28.8" x14ac:dyDescent="0.55000000000000004">
      <c r="A2811" s="9" t="str">
        <f>HYPERLINK("PDF\FOIA-FWS-2020-00724-0002810.pdf","FOIA-FWS-2020-00724-0002810")</f>
        <v>FOIA-FWS-2020-00724-0002810</v>
      </c>
      <c r="B2811" s="3" t="s">
        <v>4562</v>
      </c>
      <c r="C2811" s="3" t="s">
        <v>234</v>
      </c>
      <c r="D2811" s="3" t="s">
        <v>160</v>
      </c>
      <c r="E2811" s="3" t="s">
        <v>4581</v>
      </c>
      <c r="F2811" s="4">
        <v>43795.864583333336</v>
      </c>
      <c r="G2811" s="3"/>
      <c r="H2811" s="3"/>
      <c r="I2811" s="3" t="s">
        <v>7043</v>
      </c>
      <c r="J2811" s="3"/>
      <c r="K2811" s="3"/>
      <c r="L2811" s="5" t="str">
        <f>HYPERLINK("NATIVE_FILES\FOIA-FWS-2020-00724-0002810.atx","FOIA-FWS-2020-00724-0002810.atx")</f>
        <v>FOIA-FWS-2020-00724-0002810.atx</v>
      </c>
    </row>
    <row r="2812" spans="1:12" ht="28.8" x14ac:dyDescent="0.55000000000000004">
      <c r="A2812" s="9" t="str">
        <f>HYPERLINK("PDF\FOIA-FWS-2020-00724-0002811.pdf","FOIA-FWS-2020-00724-0002811")</f>
        <v>FOIA-FWS-2020-00724-0002811</v>
      </c>
      <c r="B2812" s="3" t="s">
        <v>4562</v>
      </c>
      <c r="C2812" s="3" t="s">
        <v>234</v>
      </c>
      <c r="D2812" s="3" t="s">
        <v>160</v>
      </c>
      <c r="E2812" s="3" t="s">
        <v>4582</v>
      </c>
      <c r="F2812" s="4">
        <v>43795.864583333336</v>
      </c>
      <c r="G2812" s="3"/>
      <c r="H2812" s="3"/>
      <c r="I2812" s="3" t="s">
        <v>7043</v>
      </c>
      <c r="J2812" s="3"/>
      <c r="K2812" s="3"/>
      <c r="L2812" s="5" t="str">
        <f>HYPERLINK("NATIVE_FILES\FOIA-FWS-2020-00724-0002811.gdbindexes","FOIA-FWS-2020-00724-0002811.gdbindexes")</f>
        <v>FOIA-FWS-2020-00724-0002811.gdbindexes</v>
      </c>
    </row>
    <row r="2813" spans="1:12" ht="28.8" x14ac:dyDescent="0.55000000000000004">
      <c r="A2813" s="9" t="str">
        <f>HYPERLINK("PDF\FOIA-FWS-2020-00724-0002812.pdf","FOIA-FWS-2020-00724-0002812")</f>
        <v>FOIA-FWS-2020-00724-0002812</v>
      </c>
      <c r="B2813" s="3" t="s">
        <v>4562</v>
      </c>
      <c r="C2813" s="3" t="s">
        <v>234</v>
      </c>
      <c r="D2813" s="3" t="s">
        <v>160</v>
      </c>
      <c r="E2813" s="3" t="s">
        <v>4583</v>
      </c>
      <c r="F2813" s="4">
        <v>43795.864583333336</v>
      </c>
      <c r="G2813" s="3"/>
      <c r="H2813" s="3"/>
      <c r="I2813" s="3" t="s">
        <v>7043</v>
      </c>
      <c r="J2813" s="3"/>
      <c r="K2813" s="3"/>
      <c r="L2813" s="5" t="str">
        <f>HYPERLINK("NATIVE_FILES\FOIA-FWS-2020-00724-0002812.gdbtable","FOIA-FWS-2020-00724-0002812.gdbtable")</f>
        <v>FOIA-FWS-2020-00724-0002812.gdbtable</v>
      </c>
    </row>
    <row r="2814" spans="1:12" ht="28.8" x14ac:dyDescent="0.55000000000000004">
      <c r="A2814" s="9" t="str">
        <f>HYPERLINK("PDF\FOIA-FWS-2020-00724-0002813.pdf","FOIA-FWS-2020-00724-0002813")</f>
        <v>FOIA-FWS-2020-00724-0002813</v>
      </c>
      <c r="B2814" s="3" t="s">
        <v>4562</v>
      </c>
      <c r="C2814" s="3" t="s">
        <v>234</v>
      </c>
      <c r="D2814" s="3" t="s">
        <v>160</v>
      </c>
      <c r="E2814" s="3" t="s">
        <v>4584</v>
      </c>
      <c r="F2814" s="4">
        <v>43795.864583333336</v>
      </c>
      <c r="G2814" s="3"/>
      <c r="H2814" s="3"/>
      <c r="I2814" s="3" t="s">
        <v>7043</v>
      </c>
      <c r="J2814" s="3"/>
      <c r="K2814" s="3"/>
      <c r="L2814" s="5" t="str">
        <f>HYPERLINK("NATIVE_FILES\FOIA-FWS-2020-00724-0002813.gdbtablx","FOIA-FWS-2020-00724-0002813.gdbtablx")</f>
        <v>FOIA-FWS-2020-00724-0002813.gdbtablx</v>
      </c>
    </row>
    <row r="2815" spans="1:12" ht="28.8" x14ac:dyDescent="0.55000000000000004">
      <c r="A2815" s="9" t="str">
        <f>HYPERLINK("PDF\FOIA-FWS-2020-00724-0002814.pdf","FOIA-FWS-2020-00724-0002814")</f>
        <v>FOIA-FWS-2020-00724-0002814</v>
      </c>
      <c r="B2815" s="3" t="s">
        <v>4562</v>
      </c>
      <c r="C2815" s="3" t="s">
        <v>234</v>
      </c>
      <c r="D2815" s="3" t="s">
        <v>160</v>
      </c>
      <c r="E2815" s="3" t="s">
        <v>4585</v>
      </c>
      <c r="F2815" s="4">
        <v>43795.864583333336</v>
      </c>
      <c r="G2815" s="3"/>
      <c r="H2815" s="3"/>
      <c r="I2815" s="3" t="s">
        <v>7043</v>
      </c>
      <c r="J2815" s="3"/>
      <c r="K2815" s="3"/>
      <c r="L2815" s="5" t="str">
        <f>HYPERLINK("NATIVE_FILES\FOIA-FWS-2020-00724-0002814.atx","FOIA-FWS-2020-00724-0002814.atx")</f>
        <v>FOIA-FWS-2020-00724-0002814.atx</v>
      </c>
    </row>
    <row r="2816" spans="1:12" ht="28.8" x14ac:dyDescent="0.55000000000000004">
      <c r="A2816" s="9" t="str">
        <f>HYPERLINK("PDF\FOIA-FWS-2020-00724-0002815.pdf","FOIA-FWS-2020-00724-0002815")</f>
        <v>FOIA-FWS-2020-00724-0002815</v>
      </c>
      <c r="B2816" s="3" t="s">
        <v>4562</v>
      </c>
      <c r="C2816" s="3" t="s">
        <v>234</v>
      </c>
      <c r="D2816" s="3" t="s">
        <v>160</v>
      </c>
      <c r="E2816" s="3" t="s">
        <v>4586</v>
      </c>
      <c r="F2816" s="4">
        <v>43795.864583333336</v>
      </c>
      <c r="G2816" s="3"/>
      <c r="H2816" s="3"/>
      <c r="I2816" s="3" t="s">
        <v>7043</v>
      </c>
      <c r="J2816" s="3"/>
      <c r="K2816" s="3"/>
      <c r="L2816" s="5" t="str">
        <f>HYPERLINK("NATIVE_FILES\FOIA-FWS-2020-00724-0002815.atx","FOIA-FWS-2020-00724-0002815.atx")</f>
        <v>FOIA-FWS-2020-00724-0002815.atx</v>
      </c>
    </row>
    <row r="2817" spans="1:12" ht="28.8" x14ac:dyDescent="0.55000000000000004">
      <c r="A2817" s="9" t="str">
        <f>HYPERLINK("PDF\FOIA-FWS-2020-00724-0002816.pdf","FOIA-FWS-2020-00724-0002816")</f>
        <v>FOIA-FWS-2020-00724-0002816</v>
      </c>
      <c r="B2817" s="3" t="s">
        <v>4562</v>
      </c>
      <c r="C2817" s="3" t="s">
        <v>234</v>
      </c>
      <c r="D2817" s="3" t="s">
        <v>160</v>
      </c>
      <c r="E2817" s="3" t="s">
        <v>4587</v>
      </c>
      <c r="F2817" s="4">
        <v>43795.864583333336</v>
      </c>
      <c r="G2817" s="3"/>
      <c r="H2817" s="3"/>
      <c r="I2817" s="3" t="s">
        <v>7043</v>
      </c>
      <c r="J2817" s="3"/>
      <c r="K2817" s="3"/>
      <c r="L2817" s="5" t="str">
        <f>HYPERLINK("NATIVE_FILES\FOIA-FWS-2020-00724-0002816.atx","FOIA-FWS-2020-00724-0002816.atx")</f>
        <v>FOIA-FWS-2020-00724-0002816.atx</v>
      </c>
    </row>
    <row r="2818" spans="1:12" ht="28.8" x14ac:dyDescent="0.55000000000000004">
      <c r="A2818" s="9" t="str">
        <f>HYPERLINK("PDF\FOIA-FWS-2020-00724-0002817.pdf","FOIA-FWS-2020-00724-0002817")</f>
        <v>FOIA-FWS-2020-00724-0002817</v>
      </c>
      <c r="B2818" s="3" t="s">
        <v>4562</v>
      </c>
      <c r="C2818" s="3" t="s">
        <v>234</v>
      </c>
      <c r="D2818" s="3" t="s">
        <v>160</v>
      </c>
      <c r="E2818" s="3" t="s">
        <v>4588</v>
      </c>
      <c r="F2818" s="4">
        <v>43795.864583333336</v>
      </c>
      <c r="G2818" s="3"/>
      <c r="H2818" s="3"/>
      <c r="I2818" s="3" t="s">
        <v>7043</v>
      </c>
      <c r="J2818" s="3"/>
      <c r="K2818" s="3"/>
      <c r="L2818" s="5" t="str">
        <f>HYPERLINK("NATIVE_FILES\FOIA-FWS-2020-00724-0002817.atx","FOIA-FWS-2020-00724-0002817.atx")</f>
        <v>FOIA-FWS-2020-00724-0002817.atx</v>
      </c>
    </row>
    <row r="2819" spans="1:12" ht="28.8" x14ac:dyDescent="0.55000000000000004">
      <c r="A2819" s="9" t="str">
        <f>HYPERLINK("PDF\FOIA-FWS-2020-00724-0002818.pdf","FOIA-FWS-2020-00724-0002818")</f>
        <v>FOIA-FWS-2020-00724-0002818</v>
      </c>
      <c r="B2819" s="3" t="s">
        <v>4562</v>
      </c>
      <c r="C2819" s="3" t="s">
        <v>234</v>
      </c>
      <c r="D2819" s="3" t="s">
        <v>160</v>
      </c>
      <c r="E2819" s="3" t="s">
        <v>4589</v>
      </c>
      <c r="F2819" s="4">
        <v>43795.864583333336</v>
      </c>
      <c r="G2819" s="3"/>
      <c r="H2819" s="3"/>
      <c r="I2819" s="3" t="s">
        <v>7043</v>
      </c>
      <c r="J2819" s="3"/>
      <c r="K2819" s="3"/>
      <c r="L2819" s="5" t="str">
        <f>HYPERLINK("NATIVE_FILES\FOIA-FWS-2020-00724-0002818.atx","FOIA-FWS-2020-00724-0002818.atx")</f>
        <v>FOIA-FWS-2020-00724-0002818.atx</v>
      </c>
    </row>
    <row r="2820" spans="1:12" ht="28.8" x14ac:dyDescent="0.55000000000000004">
      <c r="A2820" s="9" t="str">
        <f>HYPERLINK("PDF\FOIA-FWS-2020-00724-0002819.pdf","FOIA-FWS-2020-00724-0002819")</f>
        <v>FOIA-FWS-2020-00724-0002819</v>
      </c>
      <c r="B2820" s="3" t="s">
        <v>4562</v>
      </c>
      <c r="C2820" s="3" t="s">
        <v>234</v>
      </c>
      <c r="D2820" s="3" t="s">
        <v>160</v>
      </c>
      <c r="E2820" s="3" t="s">
        <v>4590</v>
      </c>
      <c r="F2820" s="4">
        <v>43795.864583333336</v>
      </c>
      <c r="G2820" s="3"/>
      <c r="H2820" s="3"/>
      <c r="I2820" s="3" t="s">
        <v>7043</v>
      </c>
      <c r="J2820" s="3"/>
      <c r="K2820" s="3"/>
      <c r="L2820" s="5" t="str">
        <f>HYPERLINK("NATIVE_FILES\FOIA-FWS-2020-00724-0002819.atx","FOIA-FWS-2020-00724-0002819.atx")</f>
        <v>FOIA-FWS-2020-00724-0002819.atx</v>
      </c>
    </row>
    <row r="2821" spans="1:12" ht="28.8" x14ac:dyDescent="0.55000000000000004">
      <c r="A2821" s="9" t="str">
        <f>HYPERLINK("PDF\FOIA-FWS-2020-00724-0002820.pdf","FOIA-FWS-2020-00724-0002820")</f>
        <v>FOIA-FWS-2020-00724-0002820</v>
      </c>
      <c r="B2821" s="3" t="s">
        <v>4562</v>
      </c>
      <c r="C2821" s="3" t="s">
        <v>234</v>
      </c>
      <c r="D2821" s="3" t="s">
        <v>160</v>
      </c>
      <c r="E2821" s="3" t="s">
        <v>4591</v>
      </c>
      <c r="F2821" s="4">
        <v>43795.864583333336</v>
      </c>
      <c r="G2821" s="3"/>
      <c r="H2821" s="3"/>
      <c r="I2821" s="3" t="s">
        <v>7043</v>
      </c>
      <c r="J2821" s="3"/>
      <c r="K2821" s="3"/>
      <c r="L2821" s="5" t="str">
        <f>HYPERLINK("NATIVE_FILES\FOIA-FWS-2020-00724-0002820.gdbindexes","FOIA-FWS-2020-00724-0002820.gdbindexes")</f>
        <v>FOIA-FWS-2020-00724-0002820.gdbindexes</v>
      </c>
    </row>
    <row r="2822" spans="1:12" ht="28.8" x14ac:dyDescent="0.55000000000000004">
      <c r="A2822" s="9" t="str">
        <f>HYPERLINK("PDF\FOIA-FWS-2020-00724-0002821.pdf","FOIA-FWS-2020-00724-0002821")</f>
        <v>FOIA-FWS-2020-00724-0002821</v>
      </c>
      <c r="B2822" s="3" t="s">
        <v>4562</v>
      </c>
      <c r="C2822" s="3" t="s">
        <v>234</v>
      </c>
      <c r="D2822" s="3" t="s">
        <v>160</v>
      </c>
      <c r="E2822" s="3" t="s">
        <v>4592</v>
      </c>
      <c r="F2822" s="4">
        <v>43795.864583333336</v>
      </c>
      <c r="G2822" s="3"/>
      <c r="H2822" s="3"/>
      <c r="I2822" s="3" t="s">
        <v>7043</v>
      </c>
      <c r="J2822" s="3"/>
      <c r="K2822" s="3"/>
      <c r="L2822" s="5" t="str">
        <f>HYPERLINK("NATIVE_FILES\FOIA-FWS-2020-00724-0002821.gdbtable","FOIA-FWS-2020-00724-0002821.gdbtable")</f>
        <v>FOIA-FWS-2020-00724-0002821.gdbtable</v>
      </c>
    </row>
    <row r="2823" spans="1:12" ht="28.8" x14ac:dyDescent="0.55000000000000004">
      <c r="A2823" s="9" t="str">
        <f>HYPERLINK("PDF\FOIA-FWS-2020-00724-0002822.pdf","FOIA-FWS-2020-00724-0002822")</f>
        <v>FOIA-FWS-2020-00724-0002822</v>
      </c>
      <c r="B2823" s="3" t="s">
        <v>4562</v>
      </c>
      <c r="C2823" s="3" t="s">
        <v>234</v>
      </c>
      <c r="D2823" s="3" t="s">
        <v>160</v>
      </c>
      <c r="E2823" s="3" t="s">
        <v>4593</v>
      </c>
      <c r="F2823" s="4">
        <v>43795.864583333336</v>
      </c>
      <c r="G2823" s="3"/>
      <c r="H2823" s="3"/>
      <c r="I2823" s="3" t="s">
        <v>7043</v>
      </c>
      <c r="J2823" s="3"/>
      <c r="K2823" s="3"/>
      <c r="L2823" s="5" t="str">
        <f>HYPERLINK("NATIVE_FILES\FOIA-FWS-2020-00724-0002822.gdbtablx","FOIA-FWS-2020-00724-0002822.gdbtablx")</f>
        <v>FOIA-FWS-2020-00724-0002822.gdbtablx</v>
      </c>
    </row>
    <row r="2824" spans="1:12" ht="28.8" x14ac:dyDescent="0.55000000000000004">
      <c r="A2824" s="9" t="str">
        <f>HYPERLINK("PDF\FOIA-FWS-2020-00724-0002823.pdf","FOIA-FWS-2020-00724-0002823")</f>
        <v>FOIA-FWS-2020-00724-0002823</v>
      </c>
      <c r="B2824" s="3" t="s">
        <v>4562</v>
      </c>
      <c r="C2824" s="3" t="s">
        <v>234</v>
      </c>
      <c r="D2824" s="3" t="s">
        <v>160</v>
      </c>
      <c r="E2824" s="3" t="s">
        <v>4595</v>
      </c>
      <c r="F2824" s="4">
        <v>43795.864583333336</v>
      </c>
      <c r="G2824" s="3"/>
      <c r="H2824" s="3"/>
      <c r="I2824" s="3" t="s">
        <v>7043</v>
      </c>
      <c r="J2824" s="3"/>
      <c r="K2824" s="3"/>
      <c r="L2824" s="5" t="str">
        <f>HYPERLINK("NATIVE_FILES\FOIA-FWS-2020-00724-0002823.gdbindexes","FOIA-FWS-2020-00724-0002823.gdbindexes")</f>
        <v>FOIA-FWS-2020-00724-0002823.gdbindexes</v>
      </c>
    </row>
    <row r="2825" spans="1:12" ht="28.8" x14ac:dyDescent="0.55000000000000004">
      <c r="A2825" s="9" t="str">
        <f>HYPERLINK("PDF\FOIA-FWS-2020-00724-0002824.pdf","FOIA-FWS-2020-00724-0002824")</f>
        <v>FOIA-FWS-2020-00724-0002824</v>
      </c>
      <c r="B2825" s="3" t="s">
        <v>4562</v>
      </c>
      <c r="C2825" s="3" t="s">
        <v>234</v>
      </c>
      <c r="D2825" s="3" t="s">
        <v>160</v>
      </c>
      <c r="E2825" s="3" t="s">
        <v>4596</v>
      </c>
      <c r="F2825" s="4">
        <v>43795.864583333336</v>
      </c>
      <c r="G2825" s="3"/>
      <c r="H2825" s="3"/>
      <c r="I2825" s="3" t="s">
        <v>7043</v>
      </c>
      <c r="J2825" s="3"/>
      <c r="K2825" s="3"/>
      <c r="L2825" s="5" t="str">
        <f>HYPERLINK("NATIVE_FILES\FOIA-FWS-2020-00724-0002824.gdbtable","FOIA-FWS-2020-00724-0002824.gdbtable")</f>
        <v>FOIA-FWS-2020-00724-0002824.gdbtable</v>
      </c>
    </row>
    <row r="2826" spans="1:12" ht="28.8" x14ac:dyDescent="0.55000000000000004">
      <c r="A2826" s="9" t="str">
        <f>HYPERLINK("PDF\FOIA-FWS-2020-00724-0002825.pdf","FOIA-FWS-2020-00724-0002825")</f>
        <v>FOIA-FWS-2020-00724-0002825</v>
      </c>
      <c r="B2826" s="3" t="s">
        <v>4562</v>
      </c>
      <c r="C2826" s="3" t="s">
        <v>234</v>
      </c>
      <c r="D2826" s="3" t="s">
        <v>160</v>
      </c>
      <c r="E2826" s="3" t="s">
        <v>4597</v>
      </c>
      <c r="F2826" s="4">
        <v>43795.864583333336</v>
      </c>
      <c r="G2826" s="3"/>
      <c r="H2826" s="3"/>
      <c r="I2826" s="3" t="s">
        <v>7043</v>
      </c>
      <c r="J2826" s="3"/>
      <c r="K2826" s="3"/>
      <c r="L2826" s="5" t="str">
        <f>HYPERLINK("NATIVE_FILES\FOIA-FWS-2020-00724-0002825.gdbtablx","FOIA-FWS-2020-00724-0002825.gdbtablx")</f>
        <v>FOIA-FWS-2020-00724-0002825.gdbtablx</v>
      </c>
    </row>
    <row r="2827" spans="1:12" ht="28.8" x14ac:dyDescent="0.55000000000000004">
      <c r="A2827" s="9" t="str">
        <f>HYPERLINK("PDF\FOIA-FWS-2020-00724-0002826.pdf","FOIA-FWS-2020-00724-0002826")</f>
        <v>FOIA-FWS-2020-00724-0002826</v>
      </c>
      <c r="B2827" s="3" t="s">
        <v>4562</v>
      </c>
      <c r="C2827" s="3" t="s">
        <v>234</v>
      </c>
      <c r="D2827" s="3" t="s">
        <v>160</v>
      </c>
      <c r="E2827" s="3" t="s">
        <v>4598</v>
      </c>
      <c r="F2827" s="4">
        <v>43795.864583333336</v>
      </c>
      <c r="G2827" s="3"/>
      <c r="H2827" s="3"/>
      <c r="I2827" s="3" t="s">
        <v>7043</v>
      </c>
      <c r="J2827" s="3"/>
      <c r="K2827" s="3"/>
      <c r="L2827" s="5" t="str">
        <f>HYPERLINK("NATIVE_FILES\FOIA-FWS-2020-00724-0002826.spx","FOIA-FWS-2020-00724-0002826.spx")</f>
        <v>FOIA-FWS-2020-00724-0002826.spx</v>
      </c>
    </row>
    <row r="2828" spans="1:12" ht="28.8" x14ac:dyDescent="0.55000000000000004">
      <c r="A2828" s="9" t="str">
        <f>HYPERLINK("PDF\FOIA-FWS-2020-00724-0002827.pdf","FOIA-FWS-2020-00724-0002827")</f>
        <v>FOIA-FWS-2020-00724-0002827</v>
      </c>
      <c r="B2828" s="3" t="s">
        <v>4562</v>
      </c>
      <c r="C2828" s="3" t="s">
        <v>234</v>
      </c>
      <c r="D2828" s="3" t="s">
        <v>160</v>
      </c>
      <c r="E2828" s="3" t="s">
        <v>4005</v>
      </c>
      <c r="F2828" s="4">
        <v>43795.864583333336</v>
      </c>
      <c r="G2828" s="3"/>
      <c r="H2828" s="3"/>
      <c r="I2828" s="3" t="s">
        <v>7043</v>
      </c>
      <c r="J2828" s="3"/>
      <c r="K2828" s="3"/>
      <c r="L2828" s="5" t="str">
        <f>HYPERLINK("NATIVE_FILES\FOIA-FWS-2020-00724-0002827.pkinfo","FOIA-FWS-2020-00724-0002827.pkinfo")</f>
        <v>FOIA-FWS-2020-00724-0002827.pkinfo</v>
      </c>
    </row>
    <row r="2829" spans="1:12" ht="28.8" x14ac:dyDescent="0.55000000000000004">
      <c r="A2829" s="9" t="str">
        <f>HYPERLINK("PDF\FOIA-FWS-2020-00724-0002828.pdf","FOIA-FWS-2020-00724-0002828")</f>
        <v>FOIA-FWS-2020-00724-0002828</v>
      </c>
      <c r="B2829" s="3" t="s">
        <v>4562</v>
      </c>
      <c r="C2829" s="3" t="s">
        <v>234</v>
      </c>
      <c r="D2829" s="3" t="s">
        <v>160</v>
      </c>
      <c r="E2829" s="3" t="s">
        <v>4006</v>
      </c>
      <c r="F2829" s="4">
        <v>43795.864583333336</v>
      </c>
      <c r="G2829" s="3"/>
      <c r="H2829" s="3"/>
      <c r="I2829" s="3" t="s">
        <v>7043</v>
      </c>
      <c r="J2829" s="3"/>
      <c r="K2829" s="3"/>
      <c r="L2829" s="5" t="str">
        <f>HYPERLINK("NATIVE_FILES\FOIA-FWS-2020-00724-0002828.xml","FOIA-FWS-2020-00724-0002828.xml")</f>
        <v>FOIA-FWS-2020-00724-0002828.xml</v>
      </c>
    </row>
    <row r="2830" spans="1:12" ht="28.8" x14ac:dyDescent="0.55000000000000004">
      <c r="A2830" s="9" t="str">
        <f>HYPERLINK("PDF\FOIA-FWS-2020-00724-0002829.pdf","FOIA-FWS-2020-00724-0002829")</f>
        <v>FOIA-FWS-2020-00724-0002829</v>
      </c>
      <c r="B2830" s="3" t="s">
        <v>4562</v>
      </c>
      <c r="C2830" s="3" t="s">
        <v>234</v>
      </c>
      <c r="D2830" s="3" t="s">
        <v>160</v>
      </c>
      <c r="E2830" s="3" t="s">
        <v>4007</v>
      </c>
      <c r="F2830" s="4">
        <v>43795.864583333336</v>
      </c>
      <c r="G2830" s="3"/>
      <c r="H2830" s="3"/>
      <c r="I2830" s="3" t="s">
        <v>7043</v>
      </c>
      <c r="J2830" s="3"/>
      <c r="K2830" s="3"/>
      <c r="L2830" s="5"/>
    </row>
    <row r="2831" spans="1:12" ht="28.8" x14ac:dyDescent="0.55000000000000004">
      <c r="A2831" s="9" t="str">
        <f>HYPERLINK("PDF\FOIA-FWS-2020-00724-0002830.pdf","FOIA-FWS-2020-00724-0002830")</f>
        <v>FOIA-FWS-2020-00724-0002830</v>
      </c>
      <c r="B2831" s="3" t="s">
        <v>4562</v>
      </c>
      <c r="C2831" s="3" t="s">
        <v>234</v>
      </c>
      <c r="D2831" s="3" t="s">
        <v>160</v>
      </c>
      <c r="E2831" s="3" t="s">
        <v>4600</v>
      </c>
      <c r="F2831" s="4">
        <v>43795.864583333336</v>
      </c>
      <c r="G2831" s="3"/>
      <c r="H2831" s="3"/>
      <c r="I2831" s="3" t="s">
        <v>7043</v>
      </c>
      <c r="J2831" s="3"/>
      <c r="K2831" s="3"/>
      <c r="L2831" s="5" t="str">
        <f>HYPERLINK("NATIVE_FILES\FOIA-FWS-2020-00724-0002830.lyrx","FOIA-FWS-2020-00724-0002830.lyrx")</f>
        <v>FOIA-FWS-2020-00724-0002830.lyrx</v>
      </c>
    </row>
    <row r="2832" spans="1:12" ht="28.8" x14ac:dyDescent="0.55000000000000004">
      <c r="A2832" s="9" t="str">
        <f>HYPERLINK("PDF\FOIA-FWS-2020-00724-0002831.pdf","FOIA-FWS-2020-00724-0002831")</f>
        <v>FOIA-FWS-2020-00724-0002831</v>
      </c>
      <c r="B2832" s="3" t="s">
        <v>4562</v>
      </c>
      <c r="C2832" s="3" t="s">
        <v>234</v>
      </c>
      <c r="D2832" s="3" t="s">
        <v>160</v>
      </c>
      <c r="E2832" s="3" t="s">
        <v>4226</v>
      </c>
      <c r="F2832" s="4">
        <v>43795.864583333336</v>
      </c>
      <c r="G2832" s="3"/>
      <c r="H2832" s="3"/>
      <c r="I2832" s="3" t="s">
        <v>7043</v>
      </c>
      <c r="J2832" s="3"/>
      <c r="K2832" s="3"/>
      <c r="L2832" s="5" t="str">
        <f>HYPERLINK("NATIVE_FILES\FOIA-FWS-2020-00724-0002831.gdbindexes","FOIA-FWS-2020-00724-0002831.gdbindexes")</f>
        <v>FOIA-FWS-2020-00724-0002831.gdbindexes</v>
      </c>
    </row>
    <row r="2833" spans="1:12" ht="28.8" x14ac:dyDescent="0.55000000000000004">
      <c r="A2833" s="9" t="str">
        <f>HYPERLINK("PDF\FOIA-FWS-2020-00724-0002832.pdf","FOIA-FWS-2020-00724-0002832")</f>
        <v>FOIA-FWS-2020-00724-0002832</v>
      </c>
      <c r="B2833" s="3" t="s">
        <v>4562</v>
      </c>
      <c r="C2833" s="3" t="s">
        <v>234</v>
      </c>
      <c r="D2833" s="3" t="s">
        <v>160</v>
      </c>
      <c r="E2833" s="3" t="s">
        <v>4227</v>
      </c>
      <c r="F2833" s="4">
        <v>43795.864583333336</v>
      </c>
      <c r="G2833" s="3"/>
      <c r="H2833" s="3"/>
      <c r="I2833" s="3" t="s">
        <v>7043</v>
      </c>
      <c r="J2833" s="3"/>
      <c r="K2833" s="3"/>
      <c r="L2833" s="5" t="str">
        <f>HYPERLINK("NATIVE_FILES\FOIA-FWS-2020-00724-0002832.gdbtable","FOIA-FWS-2020-00724-0002832.gdbtable")</f>
        <v>FOIA-FWS-2020-00724-0002832.gdbtable</v>
      </c>
    </row>
    <row r="2834" spans="1:12" ht="28.8" x14ac:dyDescent="0.55000000000000004">
      <c r="A2834" s="9" t="str">
        <f>HYPERLINK("PDF\FOIA-FWS-2020-00724-0002833.pdf","FOIA-FWS-2020-00724-0002833")</f>
        <v>FOIA-FWS-2020-00724-0002833</v>
      </c>
      <c r="B2834" s="3" t="s">
        <v>4562</v>
      </c>
      <c r="C2834" s="3" t="s">
        <v>234</v>
      </c>
      <c r="D2834" s="3" t="s">
        <v>160</v>
      </c>
      <c r="E2834" s="3" t="s">
        <v>4228</v>
      </c>
      <c r="F2834" s="4">
        <v>43795.864583333336</v>
      </c>
      <c r="G2834" s="3"/>
      <c r="H2834" s="3"/>
      <c r="I2834" s="3" t="s">
        <v>7043</v>
      </c>
      <c r="J2834" s="3"/>
      <c r="K2834" s="3"/>
      <c r="L2834" s="5" t="str">
        <f>HYPERLINK("NATIVE_FILES\FOIA-FWS-2020-00724-0002833.gdbtablx","FOIA-FWS-2020-00724-0002833.gdbtablx")</f>
        <v>FOIA-FWS-2020-00724-0002833.gdbtablx</v>
      </c>
    </row>
    <row r="2835" spans="1:12" ht="28.8" x14ac:dyDescent="0.55000000000000004">
      <c r="A2835" s="9" t="str">
        <f>HYPERLINK("PDF\FOIA-FWS-2020-00724-0002834.pdf","FOIA-FWS-2020-00724-0002834")</f>
        <v>FOIA-FWS-2020-00724-0002834</v>
      </c>
      <c r="B2835" s="3" t="s">
        <v>4562</v>
      </c>
      <c r="C2835" s="3" t="s">
        <v>234</v>
      </c>
      <c r="D2835" s="3" t="s">
        <v>160</v>
      </c>
      <c r="E2835" s="3" t="s">
        <v>4229</v>
      </c>
      <c r="F2835" s="4">
        <v>43795.864583333336</v>
      </c>
      <c r="G2835" s="3"/>
      <c r="H2835" s="3"/>
      <c r="I2835" s="3" t="s">
        <v>7043</v>
      </c>
      <c r="J2835" s="3"/>
      <c r="K2835" s="3"/>
      <c r="L2835" s="5" t="str">
        <f>HYPERLINK("NATIVE_FILES\FOIA-FWS-2020-00724-0002834.atx","FOIA-FWS-2020-00724-0002834.atx")</f>
        <v>FOIA-FWS-2020-00724-0002834.atx</v>
      </c>
    </row>
    <row r="2836" spans="1:12" ht="28.8" x14ac:dyDescent="0.55000000000000004">
      <c r="A2836" s="9" t="str">
        <f>HYPERLINK("PDF\FOIA-FWS-2020-00724-0002835.pdf","FOIA-FWS-2020-00724-0002835")</f>
        <v>FOIA-FWS-2020-00724-0002835</v>
      </c>
      <c r="B2836" s="3" t="s">
        <v>4562</v>
      </c>
      <c r="C2836" s="3" t="s">
        <v>234</v>
      </c>
      <c r="D2836" s="3" t="s">
        <v>160</v>
      </c>
      <c r="E2836" s="3" t="s">
        <v>4230</v>
      </c>
      <c r="F2836" s="4">
        <v>43795.864583333336</v>
      </c>
      <c r="G2836" s="3"/>
      <c r="H2836" s="3"/>
      <c r="I2836" s="3" t="s">
        <v>7043</v>
      </c>
      <c r="J2836" s="3"/>
      <c r="K2836" s="3"/>
      <c r="L2836" s="5" t="str">
        <f>HYPERLINK("NATIVE_FILES\FOIA-FWS-2020-00724-0002835.gdbtable","FOIA-FWS-2020-00724-0002835.gdbtable")</f>
        <v>FOIA-FWS-2020-00724-0002835.gdbtable</v>
      </c>
    </row>
    <row r="2837" spans="1:12" ht="28.8" x14ac:dyDescent="0.55000000000000004">
      <c r="A2837" s="9" t="str">
        <f>HYPERLINK("PDF\FOIA-FWS-2020-00724-0002836.pdf","FOIA-FWS-2020-00724-0002836")</f>
        <v>FOIA-FWS-2020-00724-0002836</v>
      </c>
      <c r="B2837" s="3" t="s">
        <v>4562</v>
      </c>
      <c r="C2837" s="3" t="s">
        <v>234</v>
      </c>
      <c r="D2837" s="3" t="s">
        <v>160</v>
      </c>
      <c r="E2837" s="3" t="s">
        <v>4231</v>
      </c>
      <c r="F2837" s="4">
        <v>43795.864583333336</v>
      </c>
      <c r="G2837" s="3"/>
      <c r="H2837" s="3"/>
      <c r="I2837" s="3" t="s">
        <v>7043</v>
      </c>
      <c r="J2837" s="3"/>
      <c r="K2837" s="3"/>
      <c r="L2837" s="5" t="str">
        <f>HYPERLINK("NATIVE_FILES\FOIA-FWS-2020-00724-0002836.gdbtablx","FOIA-FWS-2020-00724-0002836.gdbtablx")</f>
        <v>FOIA-FWS-2020-00724-0002836.gdbtablx</v>
      </c>
    </row>
    <row r="2838" spans="1:12" ht="28.8" x14ac:dyDescent="0.55000000000000004">
      <c r="A2838" s="9" t="str">
        <f>HYPERLINK("PDF\FOIA-FWS-2020-00724-0002837.pdf","FOIA-FWS-2020-00724-0002837")</f>
        <v>FOIA-FWS-2020-00724-0002837</v>
      </c>
      <c r="B2838" s="3" t="s">
        <v>4562</v>
      </c>
      <c r="C2838" s="3" t="s">
        <v>234</v>
      </c>
      <c r="D2838" s="3" t="s">
        <v>160</v>
      </c>
      <c r="E2838" s="3" t="s">
        <v>4236</v>
      </c>
      <c r="F2838" s="4">
        <v>43795.864583333336</v>
      </c>
      <c r="G2838" s="3"/>
      <c r="H2838" s="3"/>
      <c r="I2838" s="3" t="s">
        <v>7043</v>
      </c>
      <c r="J2838" s="3"/>
      <c r="K2838" s="3"/>
      <c r="L2838" s="5" t="str">
        <f>HYPERLINK("NATIVE_FILES\FOIA-FWS-2020-00724-0002837.gdbindexes","FOIA-FWS-2020-00724-0002837.gdbindexes")</f>
        <v>FOIA-FWS-2020-00724-0002837.gdbindexes</v>
      </c>
    </row>
    <row r="2839" spans="1:12" ht="28.8" x14ac:dyDescent="0.55000000000000004">
      <c r="A2839" s="9" t="str">
        <f>HYPERLINK("PDF\FOIA-FWS-2020-00724-0002838.pdf","FOIA-FWS-2020-00724-0002838")</f>
        <v>FOIA-FWS-2020-00724-0002838</v>
      </c>
      <c r="B2839" s="3" t="s">
        <v>4562</v>
      </c>
      <c r="C2839" s="3" t="s">
        <v>234</v>
      </c>
      <c r="D2839" s="3" t="s">
        <v>160</v>
      </c>
      <c r="E2839" s="3" t="s">
        <v>4237</v>
      </c>
      <c r="F2839" s="4">
        <v>43795.864583333336</v>
      </c>
      <c r="G2839" s="3"/>
      <c r="H2839" s="3"/>
      <c r="I2839" s="3" t="s">
        <v>7043</v>
      </c>
      <c r="J2839" s="3"/>
      <c r="K2839" s="3"/>
      <c r="L2839" s="5" t="str">
        <f>HYPERLINK("NATIVE_FILES\FOIA-FWS-2020-00724-0002838.gdbtable","FOIA-FWS-2020-00724-0002838.gdbtable")</f>
        <v>FOIA-FWS-2020-00724-0002838.gdbtable</v>
      </c>
    </row>
    <row r="2840" spans="1:12" ht="28.8" x14ac:dyDescent="0.55000000000000004">
      <c r="A2840" s="9" t="str">
        <f>HYPERLINK("PDF\FOIA-FWS-2020-00724-0002839.pdf","FOIA-FWS-2020-00724-0002839")</f>
        <v>FOIA-FWS-2020-00724-0002839</v>
      </c>
      <c r="B2840" s="3" t="s">
        <v>4562</v>
      </c>
      <c r="C2840" s="3" t="s">
        <v>234</v>
      </c>
      <c r="D2840" s="3" t="s">
        <v>160</v>
      </c>
      <c r="E2840" s="3" t="s">
        <v>4238</v>
      </c>
      <c r="F2840" s="4">
        <v>43795.864583333336</v>
      </c>
      <c r="G2840" s="3"/>
      <c r="H2840" s="3"/>
      <c r="I2840" s="3" t="s">
        <v>7043</v>
      </c>
      <c r="J2840" s="3"/>
      <c r="K2840" s="3"/>
      <c r="L2840" s="5" t="str">
        <f>HYPERLINK("NATIVE_FILES\FOIA-FWS-2020-00724-0002839.gdbtablx","FOIA-FWS-2020-00724-0002839.gdbtablx")</f>
        <v>FOIA-FWS-2020-00724-0002839.gdbtablx</v>
      </c>
    </row>
    <row r="2841" spans="1:12" ht="28.8" x14ac:dyDescent="0.55000000000000004">
      <c r="A2841" s="9" t="str">
        <f>HYPERLINK("PDF\FOIA-FWS-2020-00724-0002840.pdf","FOIA-FWS-2020-00724-0002840")</f>
        <v>FOIA-FWS-2020-00724-0002840</v>
      </c>
      <c r="B2841" s="3" t="s">
        <v>4562</v>
      </c>
      <c r="C2841" s="3" t="s">
        <v>234</v>
      </c>
      <c r="D2841" s="3" t="s">
        <v>160</v>
      </c>
      <c r="E2841" s="3" t="s">
        <v>4565</v>
      </c>
      <c r="F2841" s="4">
        <v>43795.864583333336</v>
      </c>
      <c r="G2841" s="3"/>
      <c r="H2841" s="3"/>
      <c r="I2841" s="3" t="s">
        <v>7043</v>
      </c>
      <c r="J2841" s="3"/>
      <c r="K2841" s="3"/>
      <c r="L2841" s="5" t="str">
        <f>HYPERLINK("NATIVE_FILES\FOIA-FWS-2020-00724-0002840.atx","FOIA-FWS-2020-00724-0002840.atx")</f>
        <v>FOIA-FWS-2020-00724-0002840.atx</v>
      </c>
    </row>
    <row r="2842" spans="1:12" ht="28.8" x14ac:dyDescent="0.55000000000000004">
      <c r="A2842" s="9" t="str">
        <f>HYPERLINK("PDF\FOIA-FWS-2020-00724-0002841.pdf","FOIA-FWS-2020-00724-0002841")</f>
        <v>FOIA-FWS-2020-00724-0002841</v>
      </c>
      <c r="B2842" s="3" t="s">
        <v>4562</v>
      </c>
      <c r="C2842" s="3" t="s">
        <v>234</v>
      </c>
      <c r="D2842" s="3" t="s">
        <v>160</v>
      </c>
      <c r="E2842" s="3" t="s">
        <v>4566</v>
      </c>
      <c r="F2842" s="4">
        <v>43795.864583333336</v>
      </c>
      <c r="G2842" s="3"/>
      <c r="H2842" s="3"/>
      <c r="I2842" s="3" t="s">
        <v>7043</v>
      </c>
      <c r="J2842" s="3"/>
      <c r="K2842" s="3"/>
      <c r="L2842" s="5" t="str">
        <f>HYPERLINK("NATIVE_FILES\FOIA-FWS-2020-00724-0002841.atx","FOIA-FWS-2020-00724-0002841.atx")</f>
        <v>FOIA-FWS-2020-00724-0002841.atx</v>
      </c>
    </row>
    <row r="2843" spans="1:12" ht="28.8" x14ac:dyDescent="0.55000000000000004">
      <c r="A2843" s="9" t="str">
        <f>HYPERLINK("PDF\FOIA-FWS-2020-00724-0002842.pdf","FOIA-FWS-2020-00724-0002842")</f>
        <v>FOIA-FWS-2020-00724-0002842</v>
      </c>
      <c r="B2843" s="3" t="s">
        <v>4562</v>
      </c>
      <c r="C2843" s="3" t="s">
        <v>234</v>
      </c>
      <c r="D2843" s="3" t="s">
        <v>160</v>
      </c>
      <c r="E2843" s="3" t="s">
        <v>4567</v>
      </c>
      <c r="F2843" s="4">
        <v>43795.864583333336</v>
      </c>
      <c r="G2843" s="3"/>
      <c r="H2843" s="3"/>
      <c r="I2843" s="3" t="s">
        <v>7043</v>
      </c>
      <c r="J2843" s="3"/>
      <c r="K2843" s="3"/>
      <c r="L2843" s="5" t="str">
        <f>HYPERLINK("NATIVE_FILES\FOIA-FWS-2020-00724-0002842.atx","FOIA-FWS-2020-00724-0002842.atx")</f>
        <v>FOIA-FWS-2020-00724-0002842.atx</v>
      </c>
    </row>
    <row r="2844" spans="1:12" ht="28.8" x14ac:dyDescent="0.55000000000000004">
      <c r="A2844" s="9" t="str">
        <f>HYPERLINK("PDF\FOIA-FWS-2020-00724-0002843.pdf","FOIA-FWS-2020-00724-0002843")</f>
        <v>FOIA-FWS-2020-00724-0002843</v>
      </c>
      <c r="B2844" s="3" t="s">
        <v>4562</v>
      </c>
      <c r="C2844" s="3" t="s">
        <v>234</v>
      </c>
      <c r="D2844" s="3" t="s">
        <v>160</v>
      </c>
      <c r="E2844" s="3" t="s">
        <v>4568</v>
      </c>
      <c r="F2844" s="4">
        <v>43795.864583333336</v>
      </c>
      <c r="G2844" s="3"/>
      <c r="H2844" s="3"/>
      <c r="I2844" s="3" t="s">
        <v>7043</v>
      </c>
      <c r="J2844" s="3"/>
      <c r="K2844" s="3"/>
      <c r="L2844" s="5" t="str">
        <f>HYPERLINK("NATIVE_FILES\FOIA-FWS-2020-00724-0002843.gdbindexes","FOIA-FWS-2020-00724-0002843.gdbindexes")</f>
        <v>FOIA-FWS-2020-00724-0002843.gdbindexes</v>
      </c>
    </row>
    <row r="2845" spans="1:12" ht="28.8" x14ac:dyDescent="0.55000000000000004">
      <c r="A2845" s="9" t="str">
        <f>HYPERLINK("PDF\FOIA-FWS-2020-00724-0002844.pdf","FOIA-FWS-2020-00724-0002844")</f>
        <v>FOIA-FWS-2020-00724-0002844</v>
      </c>
      <c r="B2845" s="3" t="s">
        <v>4562</v>
      </c>
      <c r="C2845" s="3" t="s">
        <v>234</v>
      </c>
      <c r="D2845" s="3" t="s">
        <v>160</v>
      </c>
      <c r="E2845" s="3" t="s">
        <v>4569</v>
      </c>
      <c r="F2845" s="4">
        <v>43795.864583333336</v>
      </c>
      <c r="G2845" s="3"/>
      <c r="H2845" s="3"/>
      <c r="I2845" s="3" t="s">
        <v>7043</v>
      </c>
      <c r="J2845" s="3"/>
      <c r="K2845" s="3"/>
      <c r="L2845" s="5" t="str">
        <f>HYPERLINK("NATIVE_FILES\FOIA-FWS-2020-00724-0002844.gdbtable","FOIA-FWS-2020-00724-0002844.gdbtable")</f>
        <v>FOIA-FWS-2020-00724-0002844.gdbtable</v>
      </c>
    </row>
    <row r="2846" spans="1:12" ht="28.8" x14ac:dyDescent="0.55000000000000004">
      <c r="A2846" s="9" t="str">
        <f>HYPERLINK("PDF\FOIA-FWS-2020-00724-0002845.pdf","FOIA-FWS-2020-00724-0002845")</f>
        <v>FOIA-FWS-2020-00724-0002845</v>
      </c>
      <c r="B2846" s="3" t="s">
        <v>4562</v>
      </c>
      <c r="C2846" s="3" t="s">
        <v>234</v>
      </c>
      <c r="D2846" s="3" t="s">
        <v>160</v>
      </c>
      <c r="E2846" s="3" t="s">
        <v>4570</v>
      </c>
      <c r="F2846" s="4">
        <v>43795.864583333336</v>
      </c>
      <c r="G2846" s="3"/>
      <c r="H2846" s="3"/>
      <c r="I2846" s="3" t="s">
        <v>7043</v>
      </c>
      <c r="J2846" s="3"/>
      <c r="K2846" s="3"/>
      <c r="L2846" s="5" t="str">
        <f>HYPERLINK("NATIVE_FILES\FOIA-FWS-2020-00724-0002845.gdbtablx","FOIA-FWS-2020-00724-0002845.gdbtablx")</f>
        <v>FOIA-FWS-2020-00724-0002845.gdbtablx</v>
      </c>
    </row>
    <row r="2847" spans="1:12" ht="28.8" x14ac:dyDescent="0.55000000000000004">
      <c r="A2847" s="9" t="str">
        <f>HYPERLINK("PDF\FOIA-FWS-2020-00724-0002846.pdf","FOIA-FWS-2020-00724-0002846")</f>
        <v>FOIA-FWS-2020-00724-0002846</v>
      </c>
      <c r="B2847" s="3" t="s">
        <v>4562</v>
      </c>
      <c r="C2847" s="3" t="s">
        <v>234</v>
      </c>
      <c r="D2847" s="3" t="s">
        <v>160</v>
      </c>
      <c r="E2847" s="3" t="s">
        <v>4571</v>
      </c>
      <c r="F2847" s="4">
        <v>43795.864583333336</v>
      </c>
      <c r="G2847" s="3"/>
      <c r="H2847" s="3"/>
      <c r="I2847" s="3" t="s">
        <v>7043</v>
      </c>
      <c r="J2847" s="3"/>
      <c r="K2847" s="3"/>
      <c r="L2847" s="5" t="str">
        <f>HYPERLINK("NATIVE_FILES\FOIA-FWS-2020-00724-0002846.spx","FOIA-FWS-2020-00724-0002846.spx")</f>
        <v>FOIA-FWS-2020-00724-0002846.spx</v>
      </c>
    </row>
    <row r="2848" spans="1:12" ht="28.8" x14ac:dyDescent="0.55000000000000004">
      <c r="A2848" s="9" t="str">
        <f>HYPERLINK("PDF\FOIA-FWS-2020-00724-0002847.pdf","FOIA-FWS-2020-00724-0002847")</f>
        <v>FOIA-FWS-2020-00724-0002847</v>
      </c>
      <c r="B2848" s="3" t="s">
        <v>4562</v>
      </c>
      <c r="C2848" s="3" t="s">
        <v>234</v>
      </c>
      <c r="D2848" s="3" t="s">
        <v>160</v>
      </c>
      <c r="E2848" s="3" t="s">
        <v>4572</v>
      </c>
      <c r="F2848" s="4">
        <v>43795.864583333336</v>
      </c>
      <c r="G2848" s="3"/>
      <c r="H2848" s="3"/>
      <c r="I2848" s="3" t="s">
        <v>7043</v>
      </c>
      <c r="J2848" s="3"/>
      <c r="K2848" s="3"/>
      <c r="L2848" s="5" t="str">
        <f>HYPERLINK("NATIVE_FILES\FOIA-FWS-2020-00724-0002847.atx","FOIA-FWS-2020-00724-0002847.atx")</f>
        <v>FOIA-FWS-2020-00724-0002847.atx</v>
      </c>
    </row>
    <row r="2849" spans="1:12" ht="28.8" x14ac:dyDescent="0.55000000000000004">
      <c r="A2849" s="9" t="str">
        <f>HYPERLINK("PDF\FOIA-FWS-2020-00724-0002848.pdf","FOIA-FWS-2020-00724-0002848")</f>
        <v>FOIA-FWS-2020-00724-0002848</v>
      </c>
      <c r="B2849" s="3" t="s">
        <v>4562</v>
      </c>
      <c r="C2849" s="3" t="s">
        <v>234</v>
      </c>
      <c r="D2849" s="3" t="s">
        <v>160</v>
      </c>
      <c r="E2849" s="3" t="s">
        <v>4573</v>
      </c>
      <c r="F2849" s="4">
        <v>43795.864583333336</v>
      </c>
      <c r="G2849" s="3"/>
      <c r="H2849" s="3"/>
      <c r="I2849" s="3" t="s">
        <v>7043</v>
      </c>
      <c r="J2849" s="3"/>
      <c r="K2849" s="3"/>
      <c r="L2849" s="5" t="str">
        <f>HYPERLINK("NATIVE_FILES\FOIA-FWS-2020-00724-0002848.atx","FOIA-FWS-2020-00724-0002848.atx")</f>
        <v>FOIA-FWS-2020-00724-0002848.atx</v>
      </c>
    </row>
    <row r="2850" spans="1:12" ht="28.8" x14ac:dyDescent="0.55000000000000004">
      <c r="A2850" s="9" t="str">
        <f>HYPERLINK("PDF\FOIA-FWS-2020-00724-0002849.pdf","FOIA-FWS-2020-00724-0002849")</f>
        <v>FOIA-FWS-2020-00724-0002849</v>
      </c>
      <c r="B2850" s="3" t="s">
        <v>4562</v>
      </c>
      <c r="C2850" s="3" t="s">
        <v>234</v>
      </c>
      <c r="D2850" s="3" t="s">
        <v>160</v>
      </c>
      <c r="E2850" s="3" t="s">
        <v>4574</v>
      </c>
      <c r="F2850" s="4">
        <v>43795.864583333336</v>
      </c>
      <c r="G2850" s="3"/>
      <c r="H2850" s="3"/>
      <c r="I2850" s="3" t="s">
        <v>7043</v>
      </c>
      <c r="J2850" s="3"/>
      <c r="K2850" s="3"/>
      <c r="L2850" s="5" t="str">
        <f>HYPERLINK("NATIVE_FILES\FOIA-FWS-2020-00724-0002849.atx","FOIA-FWS-2020-00724-0002849.atx")</f>
        <v>FOIA-FWS-2020-00724-0002849.atx</v>
      </c>
    </row>
    <row r="2851" spans="1:12" ht="28.8" x14ac:dyDescent="0.55000000000000004">
      <c r="A2851" s="9" t="str">
        <f>HYPERLINK("PDF\FOIA-FWS-2020-00724-0002850.pdf","FOIA-FWS-2020-00724-0002850")</f>
        <v>FOIA-FWS-2020-00724-0002850</v>
      </c>
      <c r="B2851" s="3" t="s">
        <v>4562</v>
      </c>
      <c r="C2851" s="3" t="s">
        <v>234</v>
      </c>
      <c r="D2851" s="3" t="s">
        <v>160</v>
      </c>
      <c r="E2851" s="3" t="s">
        <v>4575</v>
      </c>
      <c r="F2851" s="4">
        <v>43795.864583333336</v>
      </c>
      <c r="G2851" s="3"/>
      <c r="H2851" s="3"/>
      <c r="I2851" s="3" t="s">
        <v>7043</v>
      </c>
      <c r="J2851" s="3"/>
      <c r="K2851" s="3"/>
      <c r="L2851" s="5" t="str">
        <f>HYPERLINK("NATIVE_FILES\FOIA-FWS-2020-00724-0002850.gdbindexes","FOIA-FWS-2020-00724-0002850.gdbindexes")</f>
        <v>FOIA-FWS-2020-00724-0002850.gdbindexes</v>
      </c>
    </row>
    <row r="2852" spans="1:12" ht="28.8" x14ac:dyDescent="0.55000000000000004">
      <c r="A2852" s="9" t="str">
        <f>HYPERLINK("PDF\FOIA-FWS-2020-00724-0002851.pdf","FOIA-FWS-2020-00724-0002851")</f>
        <v>FOIA-FWS-2020-00724-0002851</v>
      </c>
      <c r="B2852" s="3" t="s">
        <v>4562</v>
      </c>
      <c r="C2852" s="3" t="s">
        <v>234</v>
      </c>
      <c r="D2852" s="3" t="s">
        <v>160</v>
      </c>
      <c r="E2852" s="3" t="s">
        <v>4576</v>
      </c>
      <c r="F2852" s="4">
        <v>43795.864583333336</v>
      </c>
      <c r="G2852" s="3"/>
      <c r="H2852" s="3"/>
      <c r="I2852" s="3" t="s">
        <v>7043</v>
      </c>
      <c r="J2852" s="3"/>
      <c r="K2852" s="3"/>
      <c r="L2852" s="5" t="str">
        <f>HYPERLINK("NATIVE_FILES\FOIA-FWS-2020-00724-0002851.gdbtable","FOIA-FWS-2020-00724-0002851.gdbtable")</f>
        <v>FOIA-FWS-2020-00724-0002851.gdbtable</v>
      </c>
    </row>
    <row r="2853" spans="1:12" ht="28.8" x14ac:dyDescent="0.55000000000000004">
      <c r="A2853" s="9" t="str">
        <f>HYPERLINK("PDF\FOIA-FWS-2020-00724-0002852.pdf","FOIA-FWS-2020-00724-0002852")</f>
        <v>FOIA-FWS-2020-00724-0002852</v>
      </c>
      <c r="B2853" s="3" t="s">
        <v>4562</v>
      </c>
      <c r="C2853" s="3" t="s">
        <v>234</v>
      </c>
      <c r="D2853" s="3" t="s">
        <v>160</v>
      </c>
      <c r="E2853" s="3" t="s">
        <v>4577</v>
      </c>
      <c r="F2853" s="4">
        <v>43795.864583333336</v>
      </c>
      <c r="G2853" s="3"/>
      <c r="H2853" s="3"/>
      <c r="I2853" s="3" t="s">
        <v>7043</v>
      </c>
      <c r="J2853" s="3"/>
      <c r="K2853" s="3"/>
      <c r="L2853" s="5" t="str">
        <f>HYPERLINK("NATIVE_FILES\FOIA-FWS-2020-00724-0002852.gdbtablx","FOIA-FWS-2020-00724-0002852.gdbtablx")</f>
        <v>FOIA-FWS-2020-00724-0002852.gdbtablx</v>
      </c>
    </row>
    <row r="2854" spans="1:12" ht="28.8" x14ac:dyDescent="0.55000000000000004">
      <c r="A2854" s="9" t="str">
        <f>HYPERLINK("PDF\FOIA-FWS-2020-00724-0002853.pdf","FOIA-FWS-2020-00724-0002853")</f>
        <v>FOIA-FWS-2020-00724-0002853</v>
      </c>
      <c r="B2854" s="3" t="s">
        <v>4562</v>
      </c>
      <c r="C2854" s="3" t="s">
        <v>234</v>
      </c>
      <c r="D2854" s="3" t="s">
        <v>160</v>
      </c>
      <c r="E2854" s="3" t="s">
        <v>4578</v>
      </c>
      <c r="F2854" s="4">
        <v>43795.864583333336</v>
      </c>
      <c r="G2854" s="3"/>
      <c r="H2854" s="3"/>
      <c r="I2854" s="3" t="s">
        <v>7043</v>
      </c>
      <c r="J2854" s="3"/>
      <c r="K2854" s="3"/>
      <c r="L2854" s="5" t="str">
        <f>HYPERLINK("NATIVE_FILES\FOIA-FWS-2020-00724-0002853.atx","FOIA-FWS-2020-00724-0002853.atx")</f>
        <v>FOIA-FWS-2020-00724-0002853.atx</v>
      </c>
    </row>
    <row r="2855" spans="1:12" ht="28.8" x14ac:dyDescent="0.55000000000000004">
      <c r="A2855" s="9" t="str">
        <f>HYPERLINK("PDF\FOIA-FWS-2020-00724-0002854.pdf","FOIA-FWS-2020-00724-0002854")</f>
        <v>FOIA-FWS-2020-00724-0002854</v>
      </c>
      <c r="B2855" s="3" t="s">
        <v>4562</v>
      </c>
      <c r="C2855" s="3" t="s">
        <v>234</v>
      </c>
      <c r="D2855" s="3" t="s">
        <v>160</v>
      </c>
      <c r="E2855" s="3" t="s">
        <v>4579</v>
      </c>
      <c r="F2855" s="4">
        <v>43795.864583333336</v>
      </c>
      <c r="G2855" s="3"/>
      <c r="H2855" s="3"/>
      <c r="I2855" s="3" t="s">
        <v>7043</v>
      </c>
      <c r="J2855" s="3"/>
      <c r="K2855" s="3"/>
      <c r="L2855" s="5" t="str">
        <f>HYPERLINK("NATIVE_FILES\FOIA-FWS-2020-00724-0002854.atx","FOIA-FWS-2020-00724-0002854.atx")</f>
        <v>FOIA-FWS-2020-00724-0002854.atx</v>
      </c>
    </row>
    <row r="2856" spans="1:12" ht="28.8" x14ac:dyDescent="0.55000000000000004">
      <c r="A2856" s="9" t="str">
        <f>HYPERLINK("PDF\FOIA-FWS-2020-00724-0002855.pdf","FOIA-FWS-2020-00724-0002855")</f>
        <v>FOIA-FWS-2020-00724-0002855</v>
      </c>
      <c r="B2856" s="3" t="s">
        <v>4562</v>
      </c>
      <c r="C2856" s="3" t="s">
        <v>234</v>
      </c>
      <c r="D2856" s="3" t="s">
        <v>160</v>
      </c>
      <c r="E2856" s="3" t="s">
        <v>4580</v>
      </c>
      <c r="F2856" s="4">
        <v>43795.864583333336</v>
      </c>
      <c r="G2856" s="3"/>
      <c r="H2856" s="3"/>
      <c r="I2856" s="3" t="s">
        <v>7043</v>
      </c>
      <c r="J2856" s="3"/>
      <c r="K2856" s="3"/>
      <c r="L2856" s="5" t="str">
        <f>HYPERLINK("NATIVE_FILES\FOIA-FWS-2020-00724-0002855.atx","FOIA-FWS-2020-00724-0002855.atx")</f>
        <v>FOIA-FWS-2020-00724-0002855.atx</v>
      </c>
    </row>
    <row r="2857" spans="1:12" ht="28.8" x14ac:dyDescent="0.55000000000000004">
      <c r="A2857" s="9" t="str">
        <f>HYPERLINK("PDF\FOIA-FWS-2020-00724-0002856.pdf","FOIA-FWS-2020-00724-0002856")</f>
        <v>FOIA-FWS-2020-00724-0002856</v>
      </c>
      <c r="B2857" s="3" t="s">
        <v>4562</v>
      </c>
      <c r="C2857" s="3" t="s">
        <v>234</v>
      </c>
      <c r="D2857" s="3" t="s">
        <v>160</v>
      </c>
      <c r="E2857" s="3" t="s">
        <v>4581</v>
      </c>
      <c r="F2857" s="4">
        <v>43795.864583333336</v>
      </c>
      <c r="G2857" s="3"/>
      <c r="H2857" s="3"/>
      <c r="I2857" s="3" t="s">
        <v>7043</v>
      </c>
      <c r="J2857" s="3"/>
      <c r="K2857" s="3"/>
      <c r="L2857" s="5" t="str">
        <f>HYPERLINK("NATIVE_FILES\FOIA-FWS-2020-00724-0002856.atx","FOIA-FWS-2020-00724-0002856.atx")</f>
        <v>FOIA-FWS-2020-00724-0002856.atx</v>
      </c>
    </row>
    <row r="2858" spans="1:12" ht="28.8" x14ac:dyDescent="0.55000000000000004">
      <c r="A2858" s="9" t="str">
        <f>HYPERLINK("PDF\FOIA-FWS-2020-00724-0002857.pdf","FOIA-FWS-2020-00724-0002857")</f>
        <v>FOIA-FWS-2020-00724-0002857</v>
      </c>
      <c r="B2858" s="3" t="s">
        <v>4562</v>
      </c>
      <c r="C2858" s="3" t="s">
        <v>234</v>
      </c>
      <c r="D2858" s="3" t="s">
        <v>160</v>
      </c>
      <c r="E2858" s="3" t="s">
        <v>4582</v>
      </c>
      <c r="F2858" s="4">
        <v>43795.864583333336</v>
      </c>
      <c r="G2858" s="3"/>
      <c r="H2858" s="3"/>
      <c r="I2858" s="3" t="s">
        <v>7043</v>
      </c>
      <c r="J2858" s="3"/>
      <c r="K2858" s="3"/>
      <c r="L2858" s="5" t="str">
        <f>HYPERLINK("NATIVE_FILES\FOIA-FWS-2020-00724-0002857.gdbindexes","FOIA-FWS-2020-00724-0002857.gdbindexes")</f>
        <v>FOIA-FWS-2020-00724-0002857.gdbindexes</v>
      </c>
    </row>
    <row r="2859" spans="1:12" ht="28.8" x14ac:dyDescent="0.55000000000000004">
      <c r="A2859" s="9" t="str">
        <f>HYPERLINK("PDF\FOIA-FWS-2020-00724-0002858.pdf","FOIA-FWS-2020-00724-0002858")</f>
        <v>FOIA-FWS-2020-00724-0002858</v>
      </c>
      <c r="B2859" s="3" t="s">
        <v>4562</v>
      </c>
      <c r="C2859" s="3" t="s">
        <v>234</v>
      </c>
      <c r="D2859" s="3" t="s">
        <v>160</v>
      </c>
      <c r="E2859" s="3" t="s">
        <v>4583</v>
      </c>
      <c r="F2859" s="4">
        <v>43795.864583333336</v>
      </c>
      <c r="G2859" s="3"/>
      <c r="H2859" s="3"/>
      <c r="I2859" s="3" t="s">
        <v>7043</v>
      </c>
      <c r="J2859" s="3"/>
      <c r="K2859" s="3"/>
      <c r="L2859" s="5" t="str">
        <f>HYPERLINK("NATIVE_FILES\FOIA-FWS-2020-00724-0002858.gdbtable","FOIA-FWS-2020-00724-0002858.gdbtable")</f>
        <v>FOIA-FWS-2020-00724-0002858.gdbtable</v>
      </c>
    </row>
    <row r="2860" spans="1:12" ht="28.8" x14ac:dyDescent="0.55000000000000004">
      <c r="A2860" s="9" t="str">
        <f>HYPERLINK("PDF\FOIA-FWS-2020-00724-0002859.pdf","FOIA-FWS-2020-00724-0002859")</f>
        <v>FOIA-FWS-2020-00724-0002859</v>
      </c>
      <c r="B2860" s="3" t="s">
        <v>4562</v>
      </c>
      <c r="C2860" s="3" t="s">
        <v>234</v>
      </c>
      <c r="D2860" s="3" t="s">
        <v>160</v>
      </c>
      <c r="E2860" s="3" t="s">
        <v>4584</v>
      </c>
      <c r="F2860" s="4">
        <v>43795.864583333336</v>
      </c>
      <c r="G2860" s="3"/>
      <c r="H2860" s="3"/>
      <c r="I2860" s="3" t="s">
        <v>7043</v>
      </c>
      <c r="J2860" s="3"/>
      <c r="K2860" s="3"/>
      <c r="L2860" s="5" t="str">
        <f>HYPERLINK("NATIVE_FILES\FOIA-FWS-2020-00724-0002859.gdbtablx","FOIA-FWS-2020-00724-0002859.gdbtablx")</f>
        <v>FOIA-FWS-2020-00724-0002859.gdbtablx</v>
      </c>
    </row>
    <row r="2861" spans="1:12" ht="28.8" x14ac:dyDescent="0.55000000000000004">
      <c r="A2861" s="9" t="str">
        <f>HYPERLINK("PDF\FOIA-FWS-2020-00724-0002860.pdf","FOIA-FWS-2020-00724-0002860")</f>
        <v>FOIA-FWS-2020-00724-0002860</v>
      </c>
      <c r="B2861" s="3" t="s">
        <v>4562</v>
      </c>
      <c r="C2861" s="3" t="s">
        <v>234</v>
      </c>
      <c r="D2861" s="3" t="s">
        <v>160</v>
      </c>
      <c r="E2861" s="3" t="s">
        <v>4585</v>
      </c>
      <c r="F2861" s="4">
        <v>43795.864583333336</v>
      </c>
      <c r="G2861" s="3"/>
      <c r="H2861" s="3"/>
      <c r="I2861" s="3" t="s">
        <v>7043</v>
      </c>
      <c r="J2861" s="3"/>
      <c r="K2861" s="3"/>
      <c r="L2861" s="5" t="str">
        <f>HYPERLINK("NATIVE_FILES\FOIA-FWS-2020-00724-0002860.atx","FOIA-FWS-2020-00724-0002860.atx")</f>
        <v>FOIA-FWS-2020-00724-0002860.atx</v>
      </c>
    </row>
    <row r="2862" spans="1:12" ht="28.8" x14ac:dyDescent="0.55000000000000004">
      <c r="A2862" s="9" t="str">
        <f>HYPERLINK("PDF\FOIA-FWS-2020-00724-0002861.pdf","FOIA-FWS-2020-00724-0002861")</f>
        <v>FOIA-FWS-2020-00724-0002861</v>
      </c>
      <c r="B2862" s="3" t="s">
        <v>4562</v>
      </c>
      <c r="C2862" s="3" t="s">
        <v>234</v>
      </c>
      <c r="D2862" s="3" t="s">
        <v>160</v>
      </c>
      <c r="E2862" s="3" t="s">
        <v>4586</v>
      </c>
      <c r="F2862" s="4">
        <v>43795.864583333336</v>
      </c>
      <c r="G2862" s="3"/>
      <c r="H2862" s="3"/>
      <c r="I2862" s="3" t="s">
        <v>7043</v>
      </c>
      <c r="J2862" s="3"/>
      <c r="K2862" s="3"/>
      <c r="L2862" s="5" t="str">
        <f>HYPERLINK("NATIVE_FILES\FOIA-FWS-2020-00724-0002861.atx","FOIA-FWS-2020-00724-0002861.atx")</f>
        <v>FOIA-FWS-2020-00724-0002861.atx</v>
      </c>
    </row>
    <row r="2863" spans="1:12" ht="28.8" x14ac:dyDescent="0.55000000000000004">
      <c r="A2863" s="9" t="str">
        <f>HYPERLINK("PDF\FOIA-FWS-2020-00724-0002862.pdf","FOIA-FWS-2020-00724-0002862")</f>
        <v>FOIA-FWS-2020-00724-0002862</v>
      </c>
      <c r="B2863" s="3" t="s">
        <v>4562</v>
      </c>
      <c r="C2863" s="3" t="s">
        <v>234</v>
      </c>
      <c r="D2863" s="3" t="s">
        <v>160</v>
      </c>
      <c r="E2863" s="3" t="s">
        <v>4587</v>
      </c>
      <c r="F2863" s="4">
        <v>43795.864583333336</v>
      </c>
      <c r="G2863" s="3"/>
      <c r="H2863" s="3"/>
      <c r="I2863" s="3" t="s">
        <v>7043</v>
      </c>
      <c r="J2863" s="3"/>
      <c r="K2863" s="3"/>
      <c r="L2863" s="5" t="str">
        <f>HYPERLINK("NATIVE_FILES\FOIA-FWS-2020-00724-0002862.atx","FOIA-FWS-2020-00724-0002862.atx")</f>
        <v>FOIA-FWS-2020-00724-0002862.atx</v>
      </c>
    </row>
    <row r="2864" spans="1:12" ht="28.8" x14ac:dyDescent="0.55000000000000004">
      <c r="A2864" s="9" t="str">
        <f>HYPERLINK("PDF\FOIA-FWS-2020-00724-0002863.pdf","FOIA-FWS-2020-00724-0002863")</f>
        <v>FOIA-FWS-2020-00724-0002863</v>
      </c>
      <c r="B2864" s="3" t="s">
        <v>4562</v>
      </c>
      <c r="C2864" s="3" t="s">
        <v>234</v>
      </c>
      <c r="D2864" s="3" t="s">
        <v>160</v>
      </c>
      <c r="E2864" s="3" t="s">
        <v>4588</v>
      </c>
      <c r="F2864" s="4">
        <v>43795.864583333336</v>
      </c>
      <c r="G2864" s="3"/>
      <c r="H2864" s="3"/>
      <c r="I2864" s="3" t="s">
        <v>7043</v>
      </c>
      <c r="J2864" s="3"/>
      <c r="K2864" s="3"/>
      <c r="L2864" s="5" t="str">
        <f>HYPERLINK("NATIVE_FILES\FOIA-FWS-2020-00724-0002863.atx","FOIA-FWS-2020-00724-0002863.atx")</f>
        <v>FOIA-FWS-2020-00724-0002863.atx</v>
      </c>
    </row>
    <row r="2865" spans="1:12" ht="28.8" x14ac:dyDescent="0.55000000000000004">
      <c r="A2865" s="9" t="str">
        <f>HYPERLINK("PDF\FOIA-FWS-2020-00724-0002864.pdf","FOIA-FWS-2020-00724-0002864")</f>
        <v>FOIA-FWS-2020-00724-0002864</v>
      </c>
      <c r="B2865" s="3" t="s">
        <v>4562</v>
      </c>
      <c r="C2865" s="3" t="s">
        <v>234</v>
      </c>
      <c r="D2865" s="3" t="s">
        <v>160</v>
      </c>
      <c r="E2865" s="3" t="s">
        <v>4589</v>
      </c>
      <c r="F2865" s="4">
        <v>43795.864583333336</v>
      </c>
      <c r="G2865" s="3"/>
      <c r="H2865" s="3"/>
      <c r="I2865" s="3" t="s">
        <v>7043</v>
      </c>
      <c r="J2865" s="3"/>
      <c r="K2865" s="3"/>
      <c r="L2865" s="5" t="str">
        <f>HYPERLINK("NATIVE_FILES\FOIA-FWS-2020-00724-0002864.atx","FOIA-FWS-2020-00724-0002864.atx")</f>
        <v>FOIA-FWS-2020-00724-0002864.atx</v>
      </c>
    </row>
    <row r="2866" spans="1:12" ht="28.8" x14ac:dyDescent="0.55000000000000004">
      <c r="A2866" s="9" t="str">
        <f>HYPERLINK("PDF\FOIA-FWS-2020-00724-0002865.pdf","FOIA-FWS-2020-00724-0002865")</f>
        <v>FOIA-FWS-2020-00724-0002865</v>
      </c>
      <c r="B2866" s="3" t="s">
        <v>4562</v>
      </c>
      <c r="C2866" s="3" t="s">
        <v>234</v>
      </c>
      <c r="D2866" s="3" t="s">
        <v>160</v>
      </c>
      <c r="E2866" s="3" t="s">
        <v>4590</v>
      </c>
      <c r="F2866" s="4">
        <v>43795.864583333336</v>
      </c>
      <c r="G2866" s="3"/>
      <c r="H2866" s="3"/>
      <c r="I2866" s="3" t="s">
        <v>7043</v>
      </c>
      <c r="J2866" s="3"/>
      <c r="K2866" s="3"/>
      <c r="L2866" s="5" t="str">
        <f>HYPERLINK("NATIVE_FILES\FOIA-FWS-2020-00724-0002865.atx","FOIA-FWS-2020-00724-0002865.atx")</f>
        <v>FOIA-FWS-2020-00724-0002865.atx</v>
      </c>
    </row>
    <row r="2867" spans="1:12" ht="28.8" x14ac:dyDescent="0.55000000000000004">
      <c r="A2867" s="9" t="str">
        <f>HYPERLINK("PDF\FOIA-FWS-2020-00724-0002866.pdf","FOIA-FWS-2020-00724-0002866")</f>
        <v>FOIA-FWS-2020-00724-0002866</v>
      </c>
      <c r="B2867" s="3" t="s">
        <v>4562</v>
      </c>
      <c r="C2867" s="3" t="s">
        <v>234</v>
      </c>
      <c r="D2867" s="3" t="s">
        <v>160</v>
      </c>
      <c r="E2867" s="3" t="s">
        <v>4591</v>
      </c>
      <c r="F2867" s="4">
        <v>43795.864583333336</v>
      </c>
      <c r="G2867" s="3"/>
      <c r="H2867" s="3"/>
      <c r="I2867" s="3" t="s">
        <v>7043</v>
      </c>
      <c r="J2867" s="3"/>
      <c r="K2867" s="3"/>
      <c r="L2867" s="5" t="str">
        <f>HYPERLINK("NATIVE_FILES\FOIA-FWS-2020-00724-0002866.gdbindexes","FOIA-FWS-2020-00724-0002866.gdbindexes")</f>
        <v>FOIA-FWS-2020-00724-0002866.gdbindexes</v>
      </c>
    </row>
    <row r="2868" spans="1:12" ht="28.8" x14ac:dyDescent="0.55000000000000004">
      <c r="A2868" s="9" t="str">
        <f>HYPERLINK("PDF\FOIA-FWS-2020-00724-0002867.pdf","FOIA-FWS-2020-00724-0002867")</f>
        <v>FOIA-FWS-2020-00724-0002867</v>
      </c>
      <c r="B2868" s="3" t="s">
        <v>4562</v>
      </c>
      <c r="C2868" s="3" t="s">
        <v>234</v>
      </c>
      <c r="D2868" s="3" t="s">
        <v>160</v>
      </c>
      <c r="E2868" s="3" t="s">
        <v>4592</v>
      </c>
      <c r="F2868" s="4">
        <v>43795.864583333336</v>
      </c>
      <c r="G2868" s="3"/>
      <c r="H2868" s="3"/>
      <c r="I2868" s="3" t="s">
        <v>7043</v>
      </c>
      <c r="J2868" s="3"/>
      <c r="K2868" s="3"/>
      <c r="L2868" s="5" t="str">
        <f>HYPERLINK("NATIVE_FILES\FOIA-FWS-2020-00724-0002867.gdbtable","FOIA-FWS-2020-00724-0002867.gdbtable")</f>
        <v>FOIA-FWS-2020-00724-0002867.gdbtable</v>
      </c>
    </row>
    <row r="2869" spans="1:12" ht="28.8" x14ac:dyDescent="0.55000000000000004">
      <c r="A2869" s="9" t="str">
        <f>HYPERLINK("PDF\FOIA-FWS-2020-00724-0002868.pdf","FOIA-FWS-2020-00724-0002868")</f>
        <v>FOIA-FWS-2020-00724-0002868</v>
      </c>
      <c r="B2869" s="3" t="s">
        <v>4562</v>
      </c>
      <c r="C2869" s="3" t="s">
        <v>234</v>
      </c>
      <c r="D2869" s="3" t="s">
        <v>160</v>
      </c>
      <c r="E2869" s="3" t="s">
        <v>4593</v>
      </c>
      <c r="F2869" s="4">
        <v>43795.864583333336</v>
      </c>
      <c r="G2869" s="3"/>
      <c r="H2869" s="3"/>
      <c r="I2869" s="3" t="s">
        <v>7043</v>
      </c>
      <c r="J2869" s="3"/>
      <c r="K2869" s="3"/>
      <c r="L2869" s="5" t="str">
        <f>HYPERLINK("NATIVE_FILES\FOIA-FWS-2020-00724-0002868.gdbtablx","FOIA-FWS-2020-00724-0002868.gdbtablx")</f>
        <v>FOIA-FWS-2020-00724-0002868.gdbtablx</v>
      </c>
    </row>
    <row r="2870" spans="1:12" ht="28.8" x14ac:dyDescent="0.55000000000000004">
      <c r="A2870" s="9" t="str">
        <f>HYPERLINK("PDF\FOIA-FWS-2020-00724-0002869.pdf","FOIA-FWS-2020-00724-0002869")</f>
        <v>FOIA-FWS-2020-00724-0002869</v>
      </c>
      <c r="B2870" s="3" t="s">
        <v>4562</v>
      </c>
      <c r="C2870" s="3" t="s">
        <v>234</v>
      </c>
      <c r="D2870" s="3" t="s">
        <v>160</v>
      </c>
      <c r="E2870" s="3" t="s">
        <v>4595</v>
      </c>
      <c r="F2870" s="4">
        <v>43795.864583333336</v>
      </c>
      <c r="G2870" s="3"/>
      <c r="H2870" s="3"/>
      <c r="I2870" s="3" t="s">
        <v>7043</v>
      </c>
      <c r="J2870" s="3"/>
      <c r="K2870" s="3"/>
      <c r="L2870" s="5" t="str">
        <f>HYPERLINK("NATIVE_FILES\FOIA-FWS-2020-00724-0002869.gdbindexes","FOIA-FWS-2020-00724-0002869.gdbindexes")</f>
        <v>FOIA-FWS-2020-00724-0002869.gdbindexes</v>
      </c>
    </row>
    <row r="2871" spans="1:12" ht="28.8" x14ac:dyDescent="0.55000000000000004">
      <c r="A2871" s="9" t="str">
        <f>HYPERLINK("PDF\FOIA-FWS-2020-00724-0002870.pdf","FOIA-FWS-2020-00724-0002870")</f>
        <v>FOIA-FWS-2020-00724-0002870</v>
      </c>
      <c r="B2871" s="3" t="s">
        <v>4562</v>
      </c>
      <c r="C2871" s="3" t="s">
        <v>234</v>
      </c>
      <c r="D2871" s="3" t="s">
        <v>160</v>
      </c>
      <c r="E2871" s="3" t="s">
        <v>4596</v>
      </c>
      <c r="F2871" s="4">
        <v>43795.864583333336</v>
      </c>
      <c r="G2871" s="3"/>
      <c r="H2871" s="3"/>
      <c r="I2871" s="3" t="s">
        <v>7043</v>
      </c>
      <c r="J2871" s="3"/>
      <c r="K2871" s="3"/>
      <c r="L2871" s="5" t="str">
        <f>HYPERLINK("NATIVE_FILES\FOIA-FWS-2020-00724-0002870.gdbtable","FOIA-FWS-2020-00724-0002870.gdbtable")</f>
        <v>FOIA-FWS-2020-00724-0002870.gdbtable</v>
      </c>
    </row>
    <row r="2872" spans="1:12" ht="28.8" x14ac:dyDescent="0.55000000000000004">
      <c r="A2872" s="9" t="str">
        <f>HYPERLINK("PDF\FOIA-FWS-2020-00724-0002871.pdf","FOIA-FWS-2020-00724-0002871")</f>
        <v>FOIA-FWS-2020-00724-0002871</v>
      </c>
      <c r="B2872" s="3" t="s">
        <v>4562</v>
      </c>
      <c r="C2872" s="3" t="s">
        <v>234</v>
      </c>
      <c r="D2872" s="3" t="s">
        <v>160</v>
      </c>
      <c r="E2872" s="3" t="s">
        <v>4597</v>
      </c>
      <c r="F2872" s="4">
        <v>43795.864583333336</v>
      </c>
      <c r="G2872" s="3"/>
      <c r="H2872" s="3"/>
      <c r="I2872" s="3" t="s">
        <v>7043</v>
      </c>
      <c r="J2872" s="3"/>
      <c r="K2872" s="3"/>
      <c r="L2872" s="5" t="str">
        <f>HYPERLINK("NATIVE_FILES\FOIA-FWS-2020-00724-0002871.gdbtablx","FOIA-FWS-2020-00724-0002871.gdbtablx")</f>
        <v>FOIA-FWS-2020-00724-0002871.gdbtablx</v>
      </c>
    </row>
    <row r="2873" spans="1:12" ht="28.8" x14ac:dyDescent="0.55000000000000004">
      <c r="A2873" s="9" t="str">
        <f>HYPERLINK("PDF\FOIA-FWS-2020-00724-0002872.pdf","FOIA-FWS-2020-00724-0002872")</f>
        <v>FOIA-FWS-2020-00724-0002872</v>
      </c>
      <c r="B2873" s="3" t="s">
        <v>4562</v>
      </c>
      <c r="C2873" s="3" t="s">
        <v>234</v>
      </c>
      <c r="D2873" s="3" t="s">
        <v>160</v>
      </c>
      <c r="E2873" s="3" t="s">
        <v>4598</v>
      </c>
      <c r="F2873" s="4">
        <v>43795.864583333336</v>
      </c>
      <c r="G2873" s="3"/>
      <c r="H2873" s="3"/>
      <c r="I2873" s="3" t="s">
        <v>7043</v>
      </c>
      <c r="J2873" s="3"/>
      <c r="K2873" s="3"/>
      <c r="L2873" s="5" t="str">
        <f>HYPERLINK("NATIVE_FILES\FOIA-FWS-2020-00724-0002872.spx","FOIA-FWS-2020-00724-0002872.spx")</f>
        <v>FOIA-FWS-2020-00724-0002872.spx</v>
      </c>
    </row>
    <row r="2874" spans="1:12" ht="28.8" x14ac:dyDescent="0.55000000000000004">
      <c r="A2874" s="9" t="str">
        <f>HYPERLINK("PDF\FOIA-FWS-2020-00724-0002873.pdf","FOIA-FWS-2020-00724-0002873")</f>
        <v>FOIA-FWS-2020-00724-0002873</v>
      </c>
      <c r="B2874" s="3" t="s">
        <v>4562</v>
      </c>
      <c r="C2874" s="3" t="s">
        <v>234</v>
      </c>
      <c r="D2874" s="3" t="s">
        <v>160</v>
      </c>
      <c r="E2874" s="3" t="s">
        <v>4600</v>
      </c>
      <c r="F2874" s="4">
        <v>43795.864583333336</v>
      </c>
      <c r="G2874" s="3"/>
      <c r="H2874" s="3"/>
      <c r="I2874" s="3" t="s">
        <v>7043</v>
      </c>
      <c r="J2874" s="3"/>
      <c r="K2874" s="3"/>
      <c r="L2874" s="5" t="str">
        <f>HYPERLINK("NATIVE_FILES\FOIA-FWS-2020-00724-0002873.lyrx","FOIA-FWS-2020-00724-0002873.lyrx")</f>
        <v>FOIA-FWS-2020-00724-0002873.lyrx</v>
      </c>
    </row>
    <row r="2875" spans="1:12" ht="28.8" x14ac:dyDescent="0.55000000000000004">
      <c r="A2875" s="9" t="str">
        <f>HYPERLINK("PDF\FOIA-FWS-2020-00724-0002874.pdf","FOIA-FWS-2020-00724-0002874")</f>
        <v>FOIA-FWS-2020-00724-0002874</v>
      </c>
      <c r="B2875" s="3" t="s">
        <v>4562</v>
      </c>
      <c r="C2875" s="3" t="s">
        <v>234</v>
      </c>
      <c r="D2875" s="3" t="s">
        <v>160</v>
      </c>
      <c r="E2875" s="3" t="s">
        <v>4226</v>
      </c>
      <c r="F2875" s="4">
        <v>43795.864583333336</v>
      </c>
      <c r="G2875" s="3"/>
      <c r="H2875" s="3"/>
      <c r="I2875" s="3" t="s">
        <v>7043</v>
      </c>
      <c r="J2875" s="3"/>
      <c r="K2875" s="3"/>
      <c r="L2875" s="5" t="str">
        <f>HYPERLINK("NATIVE_FILES\FOIA-FWS-2020-00724-0002874.gdbindexes","FOIA-FWS-2020-00724-0002874.gdbindexes")</f>
        <v>FOIA-FWS-2020-00724-0002874.gdbindexes</v>
      </c>
    </row>
    <row r="2876" spans="1:12" ht="28.8" x14ac:dyDescent="0.55000000000000004">
      <c r="A2876" s="9" t="str">
        <f>HYPERLINK("PDF\FOIA-FWS-2020-00724-0002875.pdf","FOIA-FWS-2020-00724-0002875")</f>
        <v>FOIA-FWS-2020-00724-0002875</v>
      </c>
      <c r="B2876" s="3" t="s">
        <v>4562</v>
      </c>
      <c r="C2876" s="3" t="s">
        <v>234</v>
      </c>
      <c r="D2876" s="3" t="s">
        <v>160</v>
      </c>
      <c r="E2876" s="3" t="s">
        <v>4227</v>
      </c>
      <c r="F2876" s="4">
        <v>43795.864583333336</v>
      </c>
      <c r="G2876" s="3"/>
      <c r="H2876" s="3"/>
      <c r="I2876" s="3" t="s">
        <v>7043</v>
      </c>
      <c r="J2876" s="3"/>
      <c r="K2876" s="3"/>
      <c r="L2876" s="5" t="str">
        <f>HYPERLINK("NATIVE_FILES\FOIA-FWS-2020-00724-0002875.gdbtable","FOIA-FWS-2020-00724-0002875.gdbtable")</f>
        <v>FOIA-FWS-2020-00724-0002875.gdbtable</v>
      </c>
    </row>
    <row r="2877" spans="1:12" ht="28.8" x14ac:dyDescent="0.55000000000000004">
      <c r="A2877" s="9" t="str">
        <f>HYPERLINK("PDF\FOIA-FWS-2020-00724-0002876.pdf","FOIA-FWS-2020-00724-0002876")</f>
        <v>FOIA-FWS-2020-00724-0002876</v>
      </c>
      <c r="B2877" s="3" t="s">
        <v>4562</v>
      </c>
      <c r="C2877" s="3" t="s">
        <v>234</v>
      </c>
      <c r="D2877" s="3" t="s">
        <v>160</v>
      </c>
      <c r="E2877" s="3" t="s">
        <v>4228</v>
      </c>
      <c r="F2877" s="4">
        <v>43795.864583333336</v>
      </c>
      <c r="G2877" s="3"/>
      <c r="H2877" s="3"/>
      <c r="I2877" s="3" t="s">
        <v>7043</v>
      </c>
      <c r="J2877" s="3"/>
      <c r="K2877" s="3"/>
      <c r="L2877" s="5" t="str">
        <f>HYPERLINK("NATIVE_FILES\FOIA-FWS-2020-00724-0002876.gdbtablx","FOIA-FWS-2020-00724-0002876.gdbtablx")</f>
        <v>FOIA-FWS-2020-00724-0002876.gdbtablx</v>
      </c>
    </row>
    <row r="2878" spans="1:12" ht="28.8" x14ac:dyDescent="0.55000000000000004">
      <c r="A2878" s="9" t="str">
        <f>HYPERLINK("PDF\FOIA-FWS-2020-00724-0002877.pdf","FOIA-FWS-2020-00724-0002877")</f>
        <v>FOIA-FWS-2020-00724-0002877</v>
      </c>
      <c r="B2878" s="3" t="s">
        <v>4562</v>
      </c>
      <c r="C2878" s="3" t="s">
        <v>234</v>
      </c>
      <c r="D2878" s="3" t="s">
        <v>160</v>
      </c>
      <c r="E2878" s="3" t="s">
        <v>4229</v>
      </c>
      <c r="F2878" s="4">
        <v>43795.864583333336</v>
      </c>
      <c r="G2878" s="3"/>
      <c r="H2878" s="3"/>
      <c r="I2878" s="3" t="s">
        <v>7043</v>
      </c>
      <c r="J2878" s="3"/>
      <c r="K2878" s="3"/>
      <c r="L2878" s="5" t="str">
        <f>HYPERLINK("NATIVE_FILES\FOIA-FWS-2020-00724-0002877.atx","FOIA-FWS-2020-00724-0002877.atx")</f>
        <v>FOIA-FWS-2020-00724-0002877.atx</v>
      </c>
    </row>
    <row r="2879" spans="1:12" ht="28.8" x14ac:dyDescent="0.55000000000000004">
      <c r="A2879" s="9" t="str">
        <f>HYPERLINK("PDF\FOIA-FWS-2020-00724-0002878.pdf","FOIA-FWS-2020-00724-0002878")</f>
        <v>FOIA-FWS-2020-00724-0002878</v>
      </c>
      <c r="B2879" s="3" t="s">
        <v>4562</v>
      </c>
      <c r="C2879" s="3" t="s">
        <v>234</v>
      </c>
      <c r="D2879" s="3" t="s">
        <v>160</v>
      </c>
      <c r="E2879" s="3" t="s">
        <v>4230</v>
      </c>
      <c r="F2879" s="4">
        <v>43795.864583333336</v>
      </c>
      <c r="G2879" s="3"/>
      <c r="H2879" s="3"/>
      <c r="I2879" s="3" t="s">
        <v>7043</v>
      </c>
      <c r="J2879" s="3"/>
      <c r="K2879" s="3"/>
      <c r="L2879" s="5" t="str">
        <f>HYPERLINK("NATIVE_FILES\FOIA-FWS-2020-00724-0002878.gdbtable","FOIA-FWS-2020-00724-0002878.gdbtable")</f>
        <v>FOIA-FWS-2020-00724-0002878.gdbtable</v>
      </c>
    </row>
    <row r="2880" spans="1:12" ht="28.8" x14ac:dyDescent="0.55000000000000004">
      <c r="A2880" s="9" t="str">
        <f>HYPERLINK("PDF\FOIA-FWS-2020-00724-0002879.pdf","FOIA-FWS-2020-00724-0002879")</f>
        <v>FOIA-FWS-2020-00724-0002879</v>
      </c>
      <c r="B2880" s="3" t="s">
        <v>4562</v>
      </c>
      <c r="C2880" s="3" t="s">
        <v>234</v>
      </c>
      <c r="D2880" s="3" t="s">
        <v>160</v>
      </c>
      <c r="E2880" s="3" t="s">
        <v>4231</v>
      </c>
      <c r="F2880" s="4">
        <v>43795.864583333336</v>
      </c>
      <c r="G2880" s="3"/>
      <c r="H2880" s="3"/>
      <c r="I2880" s="3" t="s">
        <v>7043</v>
      </c>
      <c r="J2880" s="3"/>
      <c r="K2880" s="3"/>
      <c r="L2880" s="5" t="str">
        <f>HYPERLINK("NATIVE_FILES\FOIA-FWS-2020-00724-0002879.gdbtablx","FOIA-FWS-2020-00724-0002879.gdbtablx")</f>
        <v>FOIA-FWS-2020-00724-0002879.gdbtablx</v>
      </c>
    </row>
    <row r="2881" spans="1:12" ht="28.8" x14ac:dyDescent="0.55000000000000004">
      <c r="A2881" s="9" t="str">
        <f>HYPERLINK("PDF\FOIA-FWS-2020-00724-0002880.pdf","FOIA-FWS-2020-00724-0002880")</f>
        <v>FOIA-FWS-2020-00724-0002880</v>
      </c>
      <c r="B2881" s="3" t="s">
        <v>4562</v>
      </c>
      <c r="C2881" s="3" t="s">
        <v>234</v>
      </c>
      <c r="D2881" s="3" t="s">
        <v>160</v>
      </c>
      <c r="E2881" s="3" t="s">
        <v>4236</v>
      </c>
      <c r="F2881" s="4">
        <v>43795.864583333336</v>
      </c>
      <c r="G2881" s="3"/>
      <c r="H2881" s="3"/>
      <c r="I2881" s="3" t="s">
        <v>7043</v>
      </c>
      <c r="J2881" s="3"/>
      <c r="K2881" s="3"/>
      <c r="L2881" s="5" t="str">
        <f>HYPERLINK("NATIVE_FILES\FOIA-FWS-2020-00724-0002880.gdbindexes","FOIA-FWS-2020-00724-0002880.gdbindexes")</f>
        <v>FOIA-FWS-2020-00724-0002880.gdbindexes</v>
      </c>
    </row>
    <row r="2882" spans="1:12" ht="28.8" x14ac:dyDescent="0.55000000000000004">
      <c r="A2882" s="9" t="str">
        <f>HYPERLINK("PDF\FOIA-FWS-2020-00724-0002881.pdf","FOIA-FWS-2020-00724-0002881")</f>
        <v>FOIA-FWS-2020-00724-0002881</v>
      </c>
      <c r="B2882" s="3" t="s">
        <v>4562</v>
      </c>
      <c r="C2882" s="3" t="s">
        <v>234</v>
      </c>
      <c r="D2882" s="3" t="s">
        <v>160</v>
      </c>
      <c r="E2882" s="3" t="s">
        <v>4237</v>
      </c>
      <c r="F2882" s="4">
        <v>43795.864583333336</v>
      </c>
      <c r="G2882" s="3"/>
      <c r="H2882" s="3"/>
      <c r="I2882" s="3" t="s">
        <v>7043</v>
      </c>
      <c r="J2882" s="3"/>
      <c r="K2882" s="3"/>
      <c r="L2882" s="5" t="str">
        <f>HYPERLINK("NATIVE_FILES\FOIA-FWS-2020-00724-0002881.gdbtable","FOIA-FWS-2020-00724-0002881.gdbtable")</f>
        <v>FOIA-FWS-2020-00724-0002881.gdbtable</v>
      </c>
    </row>
    <row r="2883" spans="1:12" ht="28.8" x14ac:dyDescent="0.55000000000000004">
      <c r="A2883" s="9" t="str">
        <f>HYPERLINK("PDF\FOIA-FWS-2020-00724-0002882.pdf","FOIA-FWS-2020-00724-0002882")</f>
        <v>FOIA-FWS-2020-00724-0002882</v>
      </c>
      <c r="B2883" s="3" t="s">
        <v>4562</v>
      </c>
      <c r="C2883" s="3" t="s">
        <v>234</v>
      </c>
      <c r="D2883" s="3" t="s">
        <v>160</v>
      </c>
      <c r="E2883" s="3" t="s">
        <v>4238</v>
      </c>
      <c r="F2883" s="4">
        <v>43795.864583333336</v>
      </c>
      <c r="G2883" s="3"/>
      <c r="H2883" s="3"/>
      <c r="I2883" s="3" t="s">
        <v>7043</v>
      </c>
      <c r="J2883" s="3"/>
      <c r="K2883" s="3"/>
      <c r="L2883" s="5" t="str">
        <f>HYPERLINK("NATIVE_FILES\FOIA-FWS-2020-00724-0002882.gdbtablx","FOIA-FWS-2020-00724-0002882.gdbtablx")</f>
        <v>FOIA-FWS-2020-00724-0002882.gdbtablx</v>
      </c>
    </row>
    <row r="2884" spans="1:12" ht="28.8" x14ac:dyDescent="0.55000000000000004">
      <c r="A2884" s="9" t="str">
        <f>HYPERLINK("PDF\FOIA-FWS-2020-00724-0002883.pdf","FOIA-FWS-2020-00724-0002883")</f>
        <v>FOIA-FWS-2020-00724-0002883</v>
      </c>
      <c r="B2884" s="3" t="s">
        <v>4562</v>
      </c>
      <c r="C2884" s="3" t="s">
        <v>234</v>
      </c>
      <c r="D2884" s="3" t="s">
        <v>160</v>
      </c>
      <c r="E2884" s="3" t="s">
        <v>4565</v>
      </c>
      <c r="F2884" s="4">
        <v>43795.864583333336</v>
      </c>
      <c r="G2884" s="3"/>
      <c r="H2884" s="3"/>
      <c r="I2884" s="3" t="s">
        <v>7043</v>
      </c>
      <c r="J2884" s="3"/>
      <c r="K2884" s="3"/>
      <c r="L2884" s="5" t="str">
        <f>HYPERLINK("NATIVE_FILES\FOIA-FWS-2020-00724-0002883.atx","FOIA-FWS-2020-00724-0002883.atx")</f>
        <v>FOIA-FWS-2020-00724-0002883.atx</v>
      </c>
    </row>
    <row r="2885" spans="1:12" ht="28.8" x14ac:dyDescent="0.55000000000000004">
      <c r="A2885" s="9" t="str">
        <f>HYPERLINK("PDF\FOIA-FWS-2020-00724-0002884.pdf","FOIA-FWS-2020-00724-0002884")</f>
        <v>FOIA-FWS-2020-00724-0002884</v>
      </c>
      <c r="B2885" s="3" t="s">
        <v>4562</v>
      </c>
      <c r="C2885" s="3" t="s">
        <v>234</v>
      </c>
      <c r="D2885" s="3" t="s">
        <v>160</v>
      </c>
      <c r="E2885" s="3" t="s">
        <v>4566</v>
      </c>
      <c r="F2885" s="4">
        <v>43795.864583333336</v>
      </c>
      <c r="G2885" s="3"/>
      <c r="H2885" s="3"/>
      <c r="I2885" s="3" t="s">
        <v>7043</v>
      </c>
      <c r="J2885" s="3"/>
      <c r="K2885" s="3"/>
      <c r="L2885" s="5" t="str">
        <f>HYPERLINK("NATIVE_FILES\FOIA-FWS-2020-00724-0002884.atx","FOIA-FWS-2020-00724-0002884.atx")</f>
        <v>FOIA-FWS-2020-00724-0002884.atx</v>
      </c>
    </row>
    <row r="2886" spans="1:12" ht="28.8" x14ac:dyDescent="0.55000000000000004">
      <c r="A2886" s="9" t="str">
        <f>HYPERLINK("PDF\FOIA-FWS-2020-00724-0002885.pdf","FOIA-FWS-2020-00724-0002885")</f>
        <v>FOIA-FWS-2020-00724-0002885</v>
      </c>
      <c r="B2886" s="3" t="s">
        <v>4562</v>
      </c>
      <c r="C2886" s="3" t="s">
        <v>234</v>
      </c>
      <c r="D2886" s="3" t="s">
        <v>160</v>
      </c>
      <c r="E2886" s="3" t="s">
        <v>4567</v>
      </c>
      <c r="F2886" s="4">
        <v>43795.864583333336</v>
      </c>
      <c r="G2886" s="3"/>
      <c r="H2886" s="3"/>
      <c r="I2886" s="3" t="s">
        <v>7043</v>
      </c>
      <c r="J2886" s="3"/>
      <c r="K2886" s="3"/>
      <c r="L2886" s="5" t="str">
        <f>HYPERLINK("NATIVE_FILES\FOIA-FWS-2020-00724-0002885.atx","FOIA-FWS-2020-00724-0002885.atx")</f>
        <v>FOIA-FWS-2020-00724-0002885.atx</v>
      </c>
    </row>
    <row r="2887" spans="1:12" ht="28.8" x14ac:dyDescent="0.55000000000000004">
      <c r="A2887" s="9" t="str">
        <f>HYPERLINK("PDF\FOIA-FWS-2020-00724-0002886.pdf","FOIA-FWS-2020-00724-0002886")</f>
        <v>FOIA-FWS-2020-00724-0002886</v>
      </c>
      <c r="B2887" s="3" t="s">
        <v>4562</v>
      </c>
      <c r="C2887" s="3" t="s">
        <v>234</v>
      </c>
      <c r="D2887" s="3" t="s">
        <v>160</v>
      </c>
      <c r="E2887" s="3" t="s">
        <v>4568</v>
      </c>
      <c r="F2887" s="4">
        <v>43795.864583333336</v>
      </c>
      <c r="G2887" s="3"/>
      <c r="H2887" s="3"/>
      <c r="I2887" s="3" t="s">
        <v>7043</v>
      </c>
      <c r="J2887" s="3"/>
      <c r="K2887" s="3"/>
      <c r="L2887" s="5" t="str">
        <f>HYPERLINK("NATIVE_FILES\FOIA-FWS-2020-00724-0002886.gdbindexes","FOIA-FWS-2020-00724-0002886.gdbindexes")</f>
        <v>FOIA-FWS-2020-00724-0002886.gdbindexes</v>
      </c>
    </row>
    <row r="2888" spans="1:12" ht="28.8" x14ac:dyDescent="0.55000000000000004">
      <c r="A2888" s="9" t="str">
        <f>HYPERLINK("PDF\FOIA-FWS-2020-00724-0002887.pdf","FOIA-FWS-2020-00724-0002887")</f>
        <v>FOIA-FWS-2020-00724-0002887</v>
      </c>
      <c r="B2888" s="3" t="s">
        <v>4562</v>
      </c>
      <c r="C2888" s="3" t="s">
        <v>234</v>
      </c>
      <c r="D2888" s="3" t="s">
        <v>160</v>
      </c>
      <c r="E2888" s="3" t="s">
        <v>4569</v>
      </c>
      <c r="F2888" s="4">
        <v>43795.864583333336</v>
      </c>
      <c r="G2888" s="3"/>
      <c r="H2888" s="3"/>
      <c r="I2888" s="3" t="s">
        <v>7043</v>
      </c>
      <c r="J2888" s="3"/>
      <c r="K2888" s="3"/>
      <c r="L2888" s="5" t="str">
        <f>HYPERLINK("NATIVE_FILES\FOIA-FWS-2020-00724-0002887.gdbtable","FOIA-FWS-2020-00724-0002887.gdbtable")</f>
        <v>FOIA-FWS-2020-00724-0002887.gdbtable</v>
      </c>
    </row>
    <row r="2889" spans="1:12" ht="28.8" x14ac:dyDescent="0.55000000000000004">
      <c r="A2889" s="9" t="str">
        <f>HYPERLINK("PDF\FOIA-FWS-2020-00724-0002888.pdf","FOIA-FWS-2020-00724-0002888")</f>
        <v>FOIA-FWS-2020-00724-0002888</v>
      </c>
      <c r="B2889" s="3" t="s">
        <v>4562</v>
      </c>
      <c r="C2889" s="3" t="s">
        <v>234</v>
      </c>
      <c r="D2889" s="3" t="s">
        <v>160</v>
      </c>
      <c r="E2889" s="3" t="s">
        <v>4570</v>
      </c>
      <c r="F2889" s="4">
        <v>43795.864583333336</v>
      </c>
      <c r="G2889" s="3"/>
      <c r="H2889" s="3"/>
      <c r="I2889" s="3" t="s">
        <v>7043</v>
      </c>
      <c r="J2889" s="3"/>
      <c r="K2889" s="3"/>
      <c r="L2889" s="5" t="str">
        <f>HYPERLINK("NATIVE_FILES\FOIA-FWS-2020-00724-0002888.gdbtablx","FOIA-FWS-2020-00724-0002888.gdbtablx")</f>
        <v>FOIA-FWS-2020-00724-0002888.gdbtablx</v>
      </c>
    </row>
    <row r="2890" spans="1:12" ht="28.8" x14ac:dyDescent="0.55000000000000004">
      <c r="A2890" s="9" t="str">
        <f>HYPERLINK("PDF\FOIA-FWS-2020-00724-0002889.pdf","FOIA-FWS-2020-00724-0002889")</f>
        <v>FOIA-FWS-2020-00724-0002889</v>
      </c>
      <c r="B2890" s="3" t="s">
        <v>4562</v>
      </c>
      <c r="C2890" s="3" t="s">
        <v>234</v>
      </c>
      <c r="D2890" s="3" t="s">
        <v>160</v>
      </c>
      <c r="E2890" s="3" t="s">
        <v>4571</v>
      </c>
      <c r="F2890" s="4">
        <v>43795.864583333336</v>
      </c>
      <c r="G2890" s="3"/>
      <c r="H2890" s="3"/>
      <c r="I2890" s="3" t="s">
        <v>7043</v>
      </c>
      <c r="J2890" s="3"/>
      <c r="K2890" s="3"/>
      <c r="L2890" s="5" t="str">
        <f>HYPERLINK("NATIVE_FILES\FOIA-FWS-2020-00724-0002889.spx","FOIA-FWS-2020-00724-0002889.spx")</f>
        <v>FOIA-FWS-2020-00724-0002889.spx</v>
      </c>
    </row>
    <row r="2891" spans="1:12" ht="28.8" x14ac:dyDescent="0.55000000000000004">
      <c r="A2891" s="9" t="str">
        <f>HYPERLINK("PDF\FOIA-FWS-2020-00724-0002890.pdf","FOIA-FWS-2020-00724-0002890")</f>
        <v>FOIA-FWS-2020-00724-0002890</v>
      </c>
      <c r="B2891" s="3" t="s">
        <v>4562</v>
      </c>
      <c r="C2891" s="3" t="s">
        <v>234</v>
      </c>
      <c r="D2891" s="3" t="s">
        <v>160</v>
      </c>
      <c r="E2891" s="3" t="s">
        <v>4572</v>
      </c>
      <c r="F2891" s="4">
        <v>43795.864583333336</v>
      </c>
      <c r="G2891" s="3"/>
      <c r="H2891" s="3"/>
      <c r="I2891" s="3" t="s">
        <v>7043</v>
      </c>
      <c r="J2891" s="3"/>
      <c r="K2891" s="3"/>
      <c r="L2891" s="5" t="str">
        <f>HYPERLINK("NATIVE_FILES\FOIA-FWS-2020-00724-0002890.atx","FOIA-FWS-2020-00724-0002890.atx")</f>
        <v>FOIA-FWS-2020-00724-0002890.atx</v>
      </c>
    </row>
    <row r="2892" spans="1:12" ht="28.8" x14ac:dyDescent="0.55000000000000004">
      <c r="A2892" s="9" t="str">
        <f>HYPERLINK("PDF\FOIA-FWS-2020-00724-0002891.pdf","FOIA-FWS-2020-00724-0002891")</f>
        <v>FOIA-FWS-2020-00724-0002891</v>
      </c>
      <c r="B2892" s="3" t="s">
        <v>4562</v>
      </c>
      <c r="C2892" s="3" t="s">
        <v>234</v>
      </c>
      <c r="D2892" s="3" t="s">
        <v>160</v>
      </c>
      <c r="E2892" s="3" t="s">
        <v>4573</v>
      </c>
      <c r="F2892" s="4">
        <v>43795.864583333336</v>
      </c>
      <c r="G2892" s="3"/>
      <c r="H2892" s="3"/>
      <c r="I2892" s="3" t="s">
        <v>7043</v>
      </c>
      <c r="J2892" s="3"/>
      <c r="K2892" s="3"/>
      <c r="L2892" s="5" t="str">
        <f>HYPERLINK("NATIVE_FILES\FOIA-FWS-2020-00724-0002891.atx","FOIA-FWS-2020-00724-0002891.atx")</f>
        <v>FOIA-FWS-2020-00724-0002891.atx</v>
      </c>
    </row>
    <row r="2893" spans="1:12" ht="28.8" x14ac:dyDescent="0.55000000000000004">
      <c r="A2893" s="9" t="str">
        <f>HYPERLINK("PDF\FOIA-FWS-2020-00724-0002892.pdf","FOIA-FWS-2020-00724-0002892")</f>
        <v>FOIA-FWS-2020-00724-0002892</v>
      </c>
      <c r="B2893" s="3" t="s">
        <v>4562</v>
      </c>
      <c r="C2893" s="3" t="s">
        <v>234</v>
      </c>
      <c r="D2893" s="3" t="s">
        <v>160</v>
      </c>
      <c r="E2893" s="3" t="s">
        <v>4574</v>
      </c>
      <c r="F2893" s="4">
        <v>43795.864583333336</v>
      </c>
      <c r="G2893" s="3"/>
      <c r="H2893" s="3"/>
      <c r="I2893" s="3" t="s">
        <v>7043</v>
      </c>
      <c r="J2893" s="3"/>
      <c r="K2893" s="3"/>
      <c r="L2893" s="5" t="str">
        <f>HYPERLINK("NATIVE_FILES\FOIA-FWS-2020-00724-0002892.atx","FOIA-FWS-2020-00724-0002892.atx")</f>
        <v>FOIA-FWS-2020-00724-0002892.atx</v>
      </c>
    </row>
    <row r="2894" spans="1:12" ht="28.8" x14ac:dyDescent="0.55000000000000004">
      <c r="A2894" s="9" t="str">
        <f>HYPERLINK("PDF\FOIA-FWS-2020-00724-0002893.pdf","FOIA-FWS-2020-00724-0002893")</f>
        <v>FOIA-FWS-2020-00724-0002893</v>
      </c>
      <c r="B2894" s="3" t="s">
        <v>4562</v>
      </c>
      <c r="C2894" s="3" t="s">
        <v>234</v>
      </c>
      <c r="D2894" s="3" t="s">
        <v>160</v>
      </c>
      <c r="E2894" s="3" t="s">
        <v>4575</v>
      </c>
      <c r="F2894" s="4">
        <v>43795.864583333336</v>
      </c>
      <c r="G2894" s="3"/>
      <c r="H2894" s="3"/>
      <c r="I2894" s="3" t="s">
        <v>7043</v>
      </c>
      <c r="J2894" s="3"/>
      <c r="K2894" s="3"/>
      <c r="L2894" s="5" t="str">
        <f>HYPERLINK("NATIVE_FILES\FOIA-FWS-2020-00724-0002893.gdbindexes","FOIA-FWS-2020-00724-0002893.gdbindexes")</f>
        <v>FOIA-FWS-2020-00724-0002893.gdbindexes</v>
      </c>
    </row>
    <row r="2895" spans="1:12" ht="28.8" x14ac:dyDescent="0.55000000000000004">
      <c r="A2895" s="9" t="str">
        <f>HYPERLINK("PDF\FOIA-FWS-2020-00724-0002894.pdf","FOIA-FWS-2020-00724-0002894")</f>
        <v>FOIA-FWS-2020-00724-0002894</v>
      </c>
      <c r="B2895" s="3" t="s">
        <v>4562</v>
      </c>
      <c r="C2895" s="3" t="s">
        <v>234</v>
      </c>
      <c r="D2895" s="3" t="s">
        <v>160</v>
      </c>
      <c r="E2895" s="3" t="s">
        <v>4576</v>
      </c>
      <c r="F2895" s="4">
        <v>43795.864583333336</v>
      </c>
      <c r="G2895" s="3"/>
      <c r="H2895" s="3"/>
      <c r="I2895" s="3" t="s">
        <v>7043</v>
      </c>
      <c r="J2895" s="3"/>
      <c r="K2895" s="3"/>
      <c r="L2895" s="5" t="str">
        <f>HYPERLINK("NATIVE_FILES\FOIA-FWS-2020-00724-0002894.gdbtable","FOIA-FWS-2020-00724-0002894.gdbtable")</f>
        <v>FOIA-FWS-2020-00724-0002894.gdbtable</v>
      </c>
    </row>
    <row r="2896" spans="1:12" ht="28.8" x14ac:dyDescent="0.55000000000000004">
      <c r="A2896" s="9" t="str">
        <f>HYPERLINK("PDF\FOIA-FWS-2020-00724-0002895.pdf","FOIA-FWS-2020-00724-0002895")</f>
        <v>FOIA-FWS-2020-00724-0002895</v>
      </c>
      <c r="B2896" s="3" t="s">
        <v>4562</v>
      </c>
      <c r="C2896" s="3" t="s">
        <v>234</v>
      </c>
      <c r="D2896" s="3" t="s">
        <v>160</v>
      </c>
      <c r="E2896" s="3" t="s">
        <v>4577</v>
      </c>
      <c r="F2896" s="4">
        <v>43795.864583333336</v>
      </c>
      <c r="G2896" s="3"/>
      <c r="H2896" s="3"/>
      <c r="I2896" s="3" t="s">
        <v>7043</v>
      </c>
      <c r="J2896" s="3"/>
      <c r="K2896" s="3"/>
      <c r="L2896" s="5" t="str">
        <f>HYPERLINK("NATIVE_FILES\FOIA-FWS-2020-00724-0002895.gdbtablx","FOIA-FWS-2020-00724-0002895.gdbtablx")</f>
        <v>FOIA-FWS-2020-00724-0002895.gdbtablx</v>
      </c>
    </row>
    <row r="2897" spans="1:12" ht="28.8" x14ac:dyDescent="0.55000000000000004">
      <c r="A2897" s="9" t="str">
        <f>HYPERLINK("PDF\FOIA-FWS-2020-00724-0002896.pdf","FOIA-FWS-2020-00724-0002896")</f>
        <v>FOIA-FWS-2020-00724-0002896</v>
      </c>
      <c r="B2897" s="3" t="s">
        <v>4562</v>
      </c>
      <c r="C2897" s="3" t="s">
        <v>234</v>
      </c>
      <c r="D2897" s="3" t="s">
        <v>160</v>
      </c>
      <c r="E2897" s="3" t="s">
        <v>4578</v>
      </c>
      <c r="F2897" s="4">
        <v>43795.864583333336</v>
      </c>
      <c r="G2897" s="3"/>
      <c r="H2897" s="3"/>
      <c r="I2897" s="3" t="s">
        <v>7043</v>
      </c>
      <c r="J2897" s="3"/>
      <c r="K2897" s="3"/>
      <c r="L2897" s="5" t="str">
        <f>HYPERLINK("NATIVE_FILES\FOIA-FWS-2020-00724-0002896.atx","FOIA-FWS-2020-00724-0002896.atx")</f>
        <v>FOIA-FWS-2020-00724-0002896.atx</v>
      </c>
    </row>
    <row r="2898" spans="1:12" ht="28.8" x14ac:dyDescent="0.55000000000000004">
      <c r="A2898" s="9" t="str">
        <f>HYPERLINK("PDF\FOIA-FWS-2020-00724-0002897.pdf","FOIA-FWS-2020-00724-0002897")</f>
        <v>FOIA-FWS-2020-00724-0002897</v>
      </c>
      <c r="B2898" s="3" t="s">
        <v>4562</v>
      </c>
      <c r="C2898" s="3" t="s">
        <v>234</v>
      </c>
      <c r="D2898" s="3" t="s">
        <v>160</v>
      </c>
      <c r="E2898" s="3" t="s">
        <v>4579</v>
      </c>
      <c r="F2898" s="4">
        <v>43795.864583333336</v>
      </c>
      <c r="G2898" s="3"/>
      <c r="H2898" s="3"/>
      <c r="I2898" s="3" t="s">
        <v>7043</v>
      </c>
      <c r="J2898" s="3"/>
      <c r="K2898" s="3"/>
      <c r="L2898" s="5" t="str">
        <f>HYPERLINK("NATIVE_FILES\FOIA-FWS-2020-00724-0002897.atx","FOIA-FWS-2020-00724-0002897.atx")</f>
        <v>FOIA-FWS-2020-00724-0002897.atx</v>
      </c>
    </row>
    <row r="2899" spans="1:12" ht="28.8" x14ac:dyDescent="0.55000000000000004">
      <c r="A2899" s="9" t="str">
        <f>HYPERLINK("PDF\FOIA-FWS-2020-00724-0002898.pdf","FOIA-FWS-2020-00724-0002898")</f>
        <v>FOIA-FWS-2020-00724-0002898</v>
      </c>
      <c r="B2899" s="3" t="s">
        <v>4562</v>
      </c>
      <c r="C2899" s="3" t="s">
        <v>234</v>
      </c>
      <c r="D2899" s="3" t="s">
        <v>160</v>
      </c>
      <c r="E2899" s="3" t="s">
        <v>4580</v>
      </c>
      <c r="F2899" s="4">
        <v>43795.864583333336</v>
      </c>
      <c r="G2899" s="3"/>
      <c r="H2899" s="3"/>
      <c r="I2899" s="3" t="s">
        <v>7043</v>
      </c>
      <c r="J2899" s="3"/>
      <c r="K2899" s="3"/>
      <c r="L2899" s="5" t="str">
        <f>HYPERLINK("NATIVE_FILES\FOIA-FWS-2020-00724-0002898.atx","FOIA-FWS-2020-00724-0002898.atx")</f>
        <v>FOIA-FWS-2020-00724-0002898.atx</v>
      </c>
    </row>
    <row r="2900" spans="1:12" ht="28.8" x14ac:dyDescent="0.55000000000000004">
      <c r="A2900" s="9" t="str">
        <f>HYPERLINK("PDF\FOIA-FWS-2020-00724-0002899.pdf","FOIA-FWS-2020-00724-0002899")</f>
        <v>FOIA-FWS-2020-00724-0002899</v>
      </c>
      <c r="B2900" s="3" t="s">
        <v>4562</v>
      </c>
      <c r="C2900" s="3" t="s">
        <v>234</v>
      </c>
      <c r="D2900" s="3" t="s">
        <v>160</v>
      </c>
      <c r="E2900" s="3" t="s">
        <v>4581</v>
      </c>
      <c r="F2900" s="4">
        <v>43795.864583333336</v>
      </c>
      <c r="G2900" s="3"/>
      <c r="H2900" s="3"/>
      <c r="I2900" s="3" t="s">
        <v>7043</v>
      </c>
      <c r="J2900" s="3"/>
      <c r="K2900" s="3"/>
      <c r="L2900" s="5" t="str">
        <f>HYPERLINK("NATIVE_FILES\FOIA-FWS-2020-00724-0002899.atx","FOIA-FWS-2020-00724-0002899.atx")</f>
        <v>FOIA-FWS-2020-00724-0002899.atx</v>
      </c>
    </row>
    <row r="2901" spans="1:12" ht="28.8" x14ac:dyDescent="0.55000000000000004">
      <c r="A2901" s="9" t="str">
        <f>HYPERLINK("PDF\FOIA-FWS-2020-00724-0002900.pdf","FOIA-FWS-2020-00724-0002900")</f>
        <v>FOIA-FWS-2020-00724-0002900</v>
      </c>
      <c r="B2901" s="3" t="s">
        <v>4562</v>
      </c>
      <c r="C2901" s="3" t="s">
        <v>234</v>
      </c>
      <c r="D2901" s="3" t="s">
        <v>160</v>
      </c>
      <c r="E2901" s="3" t="s">
        <v>4582</v>
      </c>
      <c r="F2901" s="4">
        <v>43795.864583333336</v>
      </c>
      <c r="G2901" s="3"/>
      <c r="H2901" s="3"/>
      <c r="I2901" s="3" t="s">
        <v>7043</v>
      </c>
      <c r="J2901" s="3"/>
      <c r="K2901" s="3"/>
      <c r="L2901" s="5" t="str">
        <f>HYPERLINK("NATIVE_FILES\FOIA-FWS-2020-00724-0002900.gdbindexes","FOIA-FWS-2020-00724-0002900.gdbindexes")</f>
        <v>FOIA-FWS-2020-00724-0002900.gdbindexes</v>
      </c>
    </row>
    <row r="2902" spans="1:12" ht="28.8" x14ac:dyDescent="0.55000000000000004">
      <c r="A2902" s="9" t="str">
        <f>HYPERLINK("PDF\FOIA-FWS-2020-00724-0002901.pdf","FOIA-FWS-2020-00724-0002901")</f>
        <v>FOIA-FWS-2020-00724-0002901</v>
      </c>
      <c r="B2902" s="3" t="s">
        <v>4562</v>
      </c>
      <c r="C2902" s="3" t="s">
        <v>234</v>
      </c>
      <c r="D2902" s="3" t="s">
        <v>160</v>
      </c>
      <c r="E2902" s="3" t="s">
        <v>4583</v>
      </c>
      <c r="F2902" s="4">
        <v>43795.864583333336</v>
      </c>
      <c r="G2902" s="3"/>
      <c r="H2902" s="3"/>
      <c r="I2902" s="3" t="s">
        <v>7043</v>
      </c>
      <c r="J2902" s="3"/>
      <c r="K2902" s="3"/>
      <c r="L2902" s="5" t="str">
        <f>HYPERLINK("NATIVE_FILES\FOIA-FWS-2020-00724-0002901.gdbtable","FOIA-FWS-2020-00724-0002901.gdbtable")</f>
        <v>FOIA-FWS-2020-00724-0002901.gdbtable</v>
      </c>
    </row>
    <row r="2903" spans="1:12" ht="28.8" x14ac:dyDescent="0.55000000000000004">
      <c r="A2903" s="9" t="str">
        <f>HYPERLINK("PDF\FOIA-FWS-2020-00724-0002902.pdf","FOIA-FWS-2020-00724-0002902")</f>
        <v>FOIA-FWS-2020-00724-0002902</v>
      </c>
      <c r="B2903" s="3" t="s">
        <v>4562</v>
      </c>
      <c r="C2903" s="3" t="s">
        <v>234</v>
      </c>
      <c r="D2903" s="3" t="s">
        <v>160</v>
      </c>
      <c r="E2903" s="3" t="s">
        <v>4584</v>
      </c>
      <c r="F2903" s="4">
        <v>43795.864583333336</v>
      </c>
      <c r="G2903" s="3"/>
      <c r="H2903" s="3"/>
      <c r="I2903" s="3" t="s">
        <v>7043</v>
      </c>
      <c r="J2903" s="3"/>
      <c r="K2903" s="3"/>
      <c r="L2903" s="5" t="str">
        <f>HYPERLINK("NATIVE_FILES\FOIA-FWS-2020-00724-0002902.gdbtablx","FOIA-FWS-2020-00724-0002902.gdbtablx")</f>
        <v>FOIA-FWS-2020-00724-0002902.gdbtablx</v>
      </c>
    </row>
    <row r="2904" spans="1:12" ht="28.8" x14ac:dyDescent="0.55000000000000004">
      <c r="A2904" s="9" t="str">
        <f>HYPERLINK("PDF\FOIA-FWS-2020-00724-0002903.pdf","FOIA-FWS-2020-00724-0002903")</f>
        <v>FOIA-FWS-2020-00724-0002903</v>
      </c>
      <c r="B2904" s="3" t="s">
        <v>4562</v>
      </c>
      <c r="C2904" s="3" t="s">
        <v>234</v>
      </c>
      <c r="D2904" s="3" t="s">
        <v>160</v>
      </c>
      <c r="E2904" s="3" t="s">
        <v>4585</v>
      </c>
      <c r="F2904" s="4">
        <v>43795.864583333336</v>
      </c>
      <c r="G2904" s="3"/>
      <c r="H2904" s="3"/>
      <c r="I2904" s="3" t="s">
        <v>7043</v>
      </c>
      <c r="J2904" s="3"/>
      <c r="K2904" s="3"/>
      <c r="L2904" s="5" t="str">
        <f>HYPERLINK("NATIVE_FILES\FOIA-FWS-2020-00724-0002903.atx","FOIA-FWS-2020-00724-0002903.atx")</f>
        <v>FOIA-FWS-2020-00724-0002903.atx</v>
      </c>
    </row>
    <row r="2905" spans="1:12" ht="28.8" x14ac:dyDescent="0.55000000000000004">
      <c r="A2905" s="9" t="str">
        <f>HYPERLINK("PDF\FOIA-FWS-2020-00724-0002904.pdf","FOIA-FWS-2020-00724-0002904")</f>
        <v>FOIA-FWS-2020-00724-0002904</v>
      </c>
      <c r="B2905" s="3" t="s">
        <v>4562</v>
      </c>
      <c r="C2905" s="3" t="s">
        <v>234</v>
      </c>
      <c r="D2905" s="3" t="s">
        <v>160</v>
      </c>
      <c r="E2905" s="3" t="s">
        <v>4586</v>
      </c>
      <c r="F2905" s="4">
        <v>43795.864583333336</v>
      </c>
      <c r="G2905" s="3"/>
      <c r="H2905" s="3"/>
      <c r="I2905" s="3" t="s">
        <v>7043</v>
      </c>
      <c r="J2905" s="3"/>
      <c r="K2905" s="3"/>
      <c r="L2905" s="5" t="str">
        <f>HYPERLINK("NATIVE_FILES\FOIA-FWS-2020-00724-0002904.atx","FOIA-FWS-2020-00724-0002904.atx")</f>
        <v>FOIA-FWS-2020-00724-0002904.atx</v>
      </c>
    </row>
    <row r="2906" spans="1:12" ht="28.8" x14ac:dyDescent="0.55000000000000004">
      <c r="A2906" s="9" t="str">
        <f>HYPERLINK("PDF\FOIA-FWS-2020-00724-0002905.pdf","FOIA-FWS-2020-00724-0002905")</f>
        <v>FOIA-FWS-2020-00724-0002905</v>
      </c>
      <c r="B2906" s="3" t="s">
        <v>4562</v>
      </c>
      <c r="C2906" s="3" t="s">
        <v>234</v>
      </c>
      <c r="D2906" s="3" t="s">
        <v>160</v>
      </c>
      <c r="E2906" s="3" t="s">
        <v>4587</v>
      </c>
      <c r="F2906" s="4">
        <v>43795.864583333336</v>
      </c>
      <c r="G2906" s="3"/>
      <c r="H2906" s="3"/>
      <c r="I2906" s="3" t="s">
        <v>7043</v>
      </c>
      <c r="J2906" s="3"/>
      <c r="K2906" s="3"/>
      <c r="L2906" s="5" t="str">
        <f>HYPERLINK("NATIVE_FILES\FOIA-FWS-2020-00724-0002905.atx","FOIA-FWS-2020-00724-0002905.atx")</f>
        <v>FOIA-FWS-2020-00724-0002905.atx</v>
      </c>
    </row>
    <row r="2907" spans="1:12" ht="28.8" x14ac:dyDescent="0.55000000000000004">
      <c r="A2907" s="9" t="str">
        <f>HYPERLINK("PDF\FOIA-FWS-2020-00724-0002906.pdf","FOIA-FWS-2020-00724-0002906")</f>
        <v>FOIA-FWS-2020-00724-0002906</v>
      </c>
      <c r="B2907" s="3" t="s">
        <v>4562</v>
      </c>
      <c r="C2907" s="3" t="s">
        <v>234</v>
      </c>
      <c r="D2907" s="3" t="s">
        <v>160</v>
      </c>
      <c r="E2907" s="3" t="s">
        <v>4588</v>
      </c>
      <c r="F2907" s="4">
        <v>43795.864583333336</v>
      </c>
      <c r="G2907" s="3"/>
      <c r="H2907" s="3"/>
      <c r="I2907" s="3" t="s">
        <v>7043</v>
      </c>
      <c r="J2907" s="3"/>
      <c r="K2907" s="3"/>
      <c r="L2907" s="5" t="str">
        <f>HYPERLINK("NATIVE_FILES\FOIA-FWS-2020-00724-0002906.atx","FOIA-FWS-2020-00724-0002906.atx")</f>
        <v>FOIA-FWS-2020-00724-0002906.atx</v>
      </c>
    </row>
    <row r="2908" spans="1:12" ht="28.8" x14ac:dyDescent="0.55000000000000004">
      <c r="A2908" s="9" t="str">
        <f>HYPERLINK("PDF\FOIA-FWS-2020-00724-0002907.pdf","FOIA-FWS-2020-00724-0002907")</f>
        <v>FOIA-FWS-2020-00724-0002907</v>
      </c>
      <c r="B2908" s="3" t="s">
        <v>4562</v>
      </c>
      <c r="C2908" s="3" t="s">
        <v>234</v>
      </c>
      <c r="D2908" s="3" t="s">
        <v>160</v>
      </c>
      <c r="E2908" s="3" t="s">
        <v>4589</v>
      </c>
      <c r="F2908" s="4">
        <v>43795.864583333336</v>
      </c>
      <c r="G2908" s="3"/>
      <c r="H2908" s="3"/>
      <c r="I2908" s="3" t="s">
        <v>7043</v>
      </c>
      <c r="J2908" s="3"/>
      <c r="K2908" s="3"/>
      <c r="L2908" s="5" t="str">
        <f>HYPERLINK("NATIVE_FILES\FOIA-FWS-2020-00724-0002907.atx","FOIA-FWS-2020-00724-0002907.atx")</f>
        <v>FOIA-FWS-2020-00724-0002907.atx</v>
      </c>
    </row>
    <row r="2909" spans="1:12" ht="28.8" x14ac:dyDescent="0.55000000000000004">
      <c r="A2909" s="9" t="str">
        <f>HYPERLINK("PDF\FOIA-FWS-2020-00724-0002908.pdf","FOIA-FWS-2020-00724-0002908")</f>
        <v>FOIA-FWS-2020-00724-0002908</v>
      </c>
      <c r="B2909" s="3" t="s">
        <v>4562</v>
      </c>
      <c r="C2909" s="3" t="s">
        <v>234</v>
      </c>
      <c r="D2909" s="3" t="s">
        <v>160</v>
      </c>
      <c r="E2909" s="3" t="s">
        <v>4590</v>
      </c>
      <c r="F2909" s="4">
        <v>43795.864583333336</v>
      </c>
      <c r="G2909" s="3"/>
      <c r="H2909" s="3"/>
      <c r="I2909" s="3" t="s">
        <v>7043</v>
      </c>
      <c r="J2909" s="3"/>
      <c r="K2909" s="3"/>
      <c r="L2909" s="5" t="str">
        <f>HYPERLINK("NATIVE_FILES\FOIA-FWS-2020-00724-0002908.atx","FOIA-FWS-2020-00724-0002908.atx")</f>
        <v>FOIA-FWS-2020-00724-0002908.atx</v>
      </c>
    </row>
    <row r="2910" spans="1:12" ht="28.8" x14ac:dyDescent="0.55000000000000004">
      <c r="A2910" s="9" t="str">
        <f>HYPERLINK("PDF\FOIA-FWS-2020-00724-0002909.pdf","FOIA-FWS-2020-00724-0002909")</f>
        <v>FOIA-FWS-2020-00724-0002909</v>
      </c>
      <c r="B2910" s="3" t="s">
        <v>4562</v>
      </c>
      <c r="C2910" s="3" t="s">
        <v>234</v>
      </c>
      <c r="D2910" s="3" t="s">
        <v>160</v>
      </c>
      <c r="E2910" s="3" t="s">
        <v>4591</v>
      </c>
      <c r="F2910" s="4">
        <v>43795.864583333336</v>
      </c>
      <c r="G2910" s="3"/>
      <c r="H2910" s="3"/>
      <c r="I2910" s="3" t="s">
        <v>7043</v>
      </c>
      <c r="J2910" s="3"/>
      <c r="K2910" s="3"/>
      <c r="L2910" s="5" t="str">
        <f>HYPERLINK("NATIVE_FILES\FOIA-FWS-2020-00724-0002909.gdbindexes","FOIA-FWS-2020-00724-0002909.gdbindexes")</f>
        <v>FOIA-FWS-2020-00724-0002909.gdbindexes</v>
      </c>
    </row>
    <row r="2911" spans="1:12" ht="28.8" x14ac:dyDescent="0.55000000000000004">
      <c r="A2911" s="9" t="str">
        <f>HYPERLINK("PDF\FOIA-FWS-2020-00724-0002910.pdf","FOIA-FWS-2020-00724-0002910")</f>
        <v>FOIA-FWS-2020-00724-0002910</v>
      </c>
      <c r="B2911" s="3" t="s">
        <v>4562</v>
      </c>
      <c r="C2911" s="3" t="s">
        <v>234</v>
      </c>
      <c r="D2911" s="3" t="s">
        <v>160</v>
      </c>
      <c r="E2911" s="3" t="s">
        <v>4592</v>
      </c>
      <c r="F2911" s="4">
        <v>43795.864583333336</v>
      </c>
      <c r="G2911" s="3"/>
      <c r="H2911" s="3"/>
      <c r="I2911" s="3" t="s">
        <v>7043</v>
      </c>
      <c r="J2911" s="3"/>
      <c r="K2911" s="3"/>
      <c r="L2911" s="5" t="str">
        <f>HYPERLINK("NATIVE_FILES\FOIA-FWS-2020-00724-0002910.gdbtable","FOIA-FWS-2020-00724-0002910.gdbtable")</f>
        <v>FOIA-FWS-2020-00724-0002910.gdbtable</v>
      </c>
    </row>
    <row r="2912" spans="1:12" ht="28.8" x14ac:dyDescent="0.55000000000000004">
      <c r="A2912" s="9" t="str">
        <f>HYPERLINK("PDF\FOIA-FWS-2020-00724-0002911.pdf","FOIA-FWS-2020-00724-0002911")</f>
        <v>FOIA-FWS-2020-00724-0002911</v>
      </c>
      <c r="B2912" s="3" t="s">
        <v>4562</v>
      </c>
      <c r="C2912" s="3" t="s">
        <v>234</v>
      </c>
      <c r="D2912" s="3" t="s">
        <v>160</v>
      </c>
      <c r="E2912" s="3" t="s">
        <v>4593</v>
      </c>
      <c r="F2912" s="4">
        <v>43795.864583333336</v>
      </c>
      <c r="G2912" s="3"/>
      <c r="H2912" s="3"/>
      <c r="I2912" s="3" t="s">
        <v>7043</v>
      </c>
      <c r="J2912" s="3"/>
      <c r="K2912" s="3"/>
      <c r="L2912" s="5" t="str">
        <f>HYPERLINK("NATIVE_FILES\FOIA-FWS-2020-00724-0002911.gdbtablx","FOIA-FWS-2020-00724-0002911.gdbtablx")</f>
        <v>FOIA-FWS-2020-00724-0002911.gdbtablx</v>
      </c>
    </row>
    <row r="2913" spans="1:12" ht="28.8" x14ac:dyDescent="0.55000000000000004">
      <c r="A2913" s="9" t="str">
        <f>HYPERLINK("PDF\FOIA-FWS-2020-00724-0002912.pdf","FOIA-FWS-2020-00724-0002912")</f>
        <v>FOIA-FWS-2020-00724-0002912</v>
      </c>
      <c r="B2913" s="3" t="s">
        <v>4562</v>
      </c>
      <c r="C2913" s="3" t="s">
        <v>234</v>
      </c>
      <c r="D2913" s="3" t="s">
        <v>160</v>
      </c>
      <c r="E2913" s="3" t="s">
        <v>4595</v>
      </c>
      <c r="F2913" s="4">
        <v>43795.864583333336</v>
      </c>
      <c r="G2913" s="3"/>
      <c r="H2913" s="3"/>
      <c r="I2913" s="3" t="s">
        <v>7043</v>
      </c>
      <c r="J2913" s="3"/>
      <c r="K2913" s="3"/>
      <c r="L2913" s="5" t="str">
        <f>HYPERLINK("NATIVE_FILES\FOIA-FWS-2020-00724-0002912.gdbindexes","FOIA-FWS-2020-00724-0002912.gdbindexes")</f>
        <v>FOIA-FWS-2020-00724-0002912.gdbindexes</v>
      </c>
    </row>
    <row r="2914" spans="1:12" ht="28.8" x14ac:dyDescent="0.55000000000000004">
      <c r="A2914" s="9" t="str">
        <f>HYPERLINK("PDF\FOIA-FWS-2020-00724-0002913.pdf","FOIA-FWS-2020-00724-0002913")</f>
        <v>FOIA-FWS-2020-00724-0002913</v>
      </c>
      <c r="B2914" s="3" t="s">
        <v>4562</v>
      </c>
      <c r="C2914" s="3" t="s">
        <v>234</v>
      </c>
      <c r="D2914" s="3" t="s">
        <v>160</v>
      </c>
      <c r="E2914" s="3" t="s">
        <v>4596</v>
      </c>
      <c r="F2914" s="4">
        <v>43795.864583333336</v>
      </c>
      <c r="G2914" s="3"/>
      <c r="H2914" s="3"/>
      <c r="I2914" s="3" t="s">
        <v>7043</v>
      </c>
      <c r="J2914" s="3"/>
      <c r="K2914" s="3"/>
      <c r="L2914" s="5" t="str">
        <f>HYPERLINK("NATIVE_FILES\FOIA-FWS-2020-00724-0002913.gdbtable","FOIA-FWS-2020-00724-0002913.gdbtable")</f>
        <v>FOIA-FWS-2020-00724-0002913.gdbtable</v>
      </c>
    </row>
    <row r="2915" spans="1:12" ht="28.8" x14ac:dyDescent="0.55000000000000004">
      <c r="A2915" s="9" t="str">
        <f>HYPERLINK("PDF\FOIA-FWS-2020-00724-0002914.pdf","FOIA-FWS-2020-00724-0002914")</f>
        <v>FOIA-FWS-2020-00724-0002914</v>
      </c>
      <c r="B2915" s="3" t="s">
        <v>4562</v>
      </c>
      <c r="C2915" s="3" t="s">
        <v>234</v>
      </c>
      <c r="D2915" s="3" t="s">
        <v>160</v>
      </c>
      <c r="E2915" s="3" t="s">
        <v>4597</v>
      </c>
      <c r="F2915" s="4">
        <v>43795.864583333336</v>
      </c>
      <c r="G2915" s="3"/>
      <c r="H2915" s="3"/>
      <c r="I2915" s="3" t="s">
        <v>7043</v>
      </c>
      <c r="J2915" s="3"/>
      <c r="K2915" s="3"/>
      <c r="L2915" s="5" t="str">
        <f>HYPERLINK("NATIVE_FILES\FOIA-FWS-2020-00724-0002914.gdbtablx","FOIA-FWS-2020-00724-0002914.gdbtablx")</f>
        <v>FOIA-FWS-2020-00724-0002914.gdbtablx</v>
      </c>
    </row>
    <row r="2916" spans="1:12" ht="28.8" x14ac:dyDescent="0.55000000000000004">
      <c r="A2916" s="9" t="str">
        <f>HYPERLINK("PDF\FOIA-FWS-2020-00724-0002915.pdf","FOIA-FWS-2020-00724-0002915")</f>
        <v>FOIA-FWS-2020-00724-0002915</v>
      </c>
      <c r="B2916" s="3" t="s">
        <v>4562</v>
      </c>
      <c r="C2916" s="3" t="s">
        <v>234</v>
      </c>
      <c r="D2916" s="3" t="s">
        <v>160</v>
      </c>
      <c r="E2916" s="3" t="s">
        <v>4598</v>
      </c>
      <c r="F2916" s="4">
        <v>43795.864583333336</v>
      </c>
      <c r="G2916" s="3"/>
      <c r="H2916" s="3"/>
      <c r="I2916" s="3" t="s">
        <v>7043</v>
      </c>
      <c r="J2916" s="3"/>
      <c r="K2916" s="3"/>
      <c r="L2916" s="5" t="str">
        <f>HYPERLINK("NATIVE_FILES\FOIA-FWS-2020-00724-0002915.spx","FOIA-FWS-2020-00724-0002915.spx")</f>
        <v>FOIA-FWS-2020-00724-0002915.spx</v>
      </c>
    </row>
    <row r="2917" spans="1:12" ht="28.8" x14ac:dyDescent="0.55000000000000004">
      <c r="A2917" s="9" t="str">
        <f>HYPERLINK("PDF\FOIA-FWS-2020-00724-0002916.pdf","FOIA-FWS-2020-00724-0002916")</f>
        <v>FOIA-FWS-2020-00724-0002916</v>
      </c>
      <c r="B2917" s="3" t="s">
        <v>4601</v>
      </c>
      <c r="C2917" s="3" t="s">
        <v>3</v>
      </c>
      <c r="D2917" s="3" t="s">
        <v>38</v>
      </c>
      <c r="E2917" s="3" t="s">
        <v>4602</v>
      </c>
      <c r="F2917" s="4">
        <v>43796</v>
      </c>
      <c r="G2917" s="3"/>
      <c r="H2917" s="3"/>
      <c r="I2917" s="3" t="s">
        <v>7043</v>
      </c>
      <c r="J2917" s="3"/>
      <c r="K2917" s="3"/>
      <c r="L2917" s="5"/>
    </row>
    <row r="2918" spans="1:12" ht="28.8" x14ac:dyDescent="0.55000000000000004">
      <c r="A2918" s="9" t="str">
        <f>HYPERLINK("PDF\FOIA-FWS-2020-00724-0002917.pdf","FOIA-FWS-2020-00724-0002917")</f>
        <v>FOIA-FWS-2020-00724-0002917</v>
      </c>
      <c r="B2918" s="3" t="s">
        <v>4603</v>
      </c>
      <c r="C2918" s="3" t="s">
        <v>3</v>
      </c>
      <c r="D2918" s="3" t="s">
        <v>33</v>
      </c>
      <c r="E2918" s="3" t="s">
        <v>4604</v>
      </c>
      <c r="F2918" s="4">
        <v>43796</v>
      </c>
      <c r="G2918" s="3"/>
      <c r="H2918" s="3"/>
      <c r="I2918" s="3" t="s">
        <v>7043</v>
      </c>
      <c r="J2918" s="3"/>
      <c r="K2918" s="3"/>
      <c r="L2918" s="5"/>
    </row>
    <row r="2919" spans="1:12" ht="28.8" x14ac:dyDescent="0.55000000000000004">
      <c r="A2919" s="9" t="str">
        <f>HYPERLINK("PDF\FOIA-FWS-2020-00724-0002918.pdf","FOIA-FWS-2020-00724-0002918")</f>
        <v>FOIA-FWS-2020-00724-0002918</v>
      </c>
      <c r="B2919" s="3" t="s">
        <v>4605</v>
      </c>
      <c r="C2919" s="3" t="s">
        <v>3</v>
      </c>
      <c r="D2919" s="3" t="s">
        <v>33</v>
      </c>
      <c r="E2919" s="3" t="s">
        <v>4606</v>
      </c>
      <c r="F2919" s="4">
        <v>43796</v>
      </c>
      <c r="G2919" s="3"/>
      <c r="H2919" s="3"/>
      <c r="I2919" s="3" t="s">
        <v>7043</v>
      </c>
      <c r="J2919" s="3"/>
      <c r="K2919" s="3"/>
      <c r="L2919" s="5"/>
    </row>
    <row r="2920" spans="1:12" ht="28.8" x14ac:dyDescent="0.55000000000000004">
      <c r="A2920" s="9" t="str">
        <f>HYPERLINK("PDF\FOIA-FWS-2020-00724-0002919.pdf","FOIA-FWS-2020-00724-0002919")</f>
        <v>FOIA-FWS-2020-00724-0002919</v>
      </c>
      <c r="B2920" s="3" t="s">
        <v>4607</v>
      </c>
      <c r="C2920" s="3" t="s">
        <v>3</v>
      </c>
      <c r="D2920" s="3" t="s">
        <v>33</v>
      </c>
      <c r="E2920" s="3" t="s">
        <v>4609</v>
      </c>
      <c r="F2920" s="4">
        <v>43796.558333333334</v>
      </c>
      <c r="G2920" s="3" t="s">
        <v>1617</v>
      </c>
      <c r="H2920" s="3" t="s">
        <v>4608</v>
      </c>
      <c r="I2920" s="3" t="s">
        <v>7043</v>
      </c>
      <c r="J2920" s="3"/>
      <c r="K2920" s="3"/>
      <c r="L2920" s="5"/>
    </row>
    <row r="2921" spans="1:12" ht="28.8" x14ac:dyDescent="0.55000000000000004">
      <c r="A2921" s="9" t="str">
        <f>HYPERLINK("PDF\FOIA-FWS-2020-00724-0002920.pdf","FOIA-FWS-2020-00724-0002920")</f>
        <v>FOIA-FWS-2020-00724-0002920</v>
      </c>
      <c r="B2921" s="3" t="s">
        <v>4607</v>
      </c>
      <c r="C2921" s="3" t="s">
        <v>234</v>
      </c>
      <c r="D2921" s="3" t="s">
        <v>33</v>
      </c>
      <c r="E2921" s="3" t="s">
        <v>4610</v>
      </c>
      <c r="F2921" s="4">
        <v>43796.558333333334</v>
      </c>
      <c r="G2921" s="3"/>
      <c r="H2921" s="3"/>
      <c r="I2921" s="3" t="s">
        <v>7043</v>
      </c>
      <c r="J2921" s="3"/>
      <c r="K2921" s="3"/>
      <c r="L2921" s="5"/>
    </row>
    <row r="2922" spans="1:12" ht="28.8" x14ac:dyDescent="0.55000000000000004">
      <c r="A2922" s="9" t="str">
        <f>HYPERLINK("PDF\FOIA-FWS-2020-00724-0002921.pdf","FOIA-FWS-2020-00724-0002921")</f>
        <v>FOIA-FWS-2020-00724-0002921</v>
      </c>
      <c r="B2922" s="3" t="s">
        <v>4607</v>
      </c>
      <c r="C2922" s="3" t="s">
        <v>234</v>
      </c>
      <c r="D2922" s="3" t="s">
        <v>33</v>
      </c>
      <c r="E2922" s="3" t="s">
        <v>4611</v>
      </c>
      <c r="F2922" s="4">
        <v>43796.558333333334</v>
      </c>
      <c r="G2922" s="3"/>
      <c r="H2922" s="3"/>
      <c r="I2922" s="3" t="s">
        <v>7043</v>
      </c>
      <c r="J2922" s="3"/>
      <c r="K2922" s="3"/>
      <c r="L2922" s="5"/>
    </row>
    <row r="2923" spans="1:12" ht="115.2" x14ac:dyDescent="0.55000000000000004">
      <c r="A2923" s="9" t="str">
        <f>HYPERLINK("PDF\FOIA-FWS-2020-00724-0002922.pdf","FOIA-FWS-2020-00724-0002922")</f>
        <v>FOIA-FWS-2020-00724-0002922</v>
      </c>
      <c r="B2923" s="3" t="s">
        <v>4612</v>
      </c>
      <c r="C2923" s="3" t="s">
        <v>3</v>
      </c>
      <c r="D2923" s="3" t="s">
        <v>33</v>
      </c>
      <c r="E2923" s="3" t="s">
        <v>4614</v>
      </c>
      <c r="F2923" s="4">
        <v>43798.765277777777</v>
      </c>
      <c r="G2923" s="3" t="s">
        <v>852</v>
      </c>
      <c r="H2923" s="3" t="s">
        <v>4613</v>
      </c>
      <c r="I2923" s="3" t="s">
        <v>7043</v>
      </c>
      <c r="J2923" s="3"/>
      <c r="K2923" s="3"/>
      <c r="L2923" s="5"/>
    </row>
    <row r="2924" spans="1:12" ht="28.8" x14ac:dyDescent="0.55000000000000004">
      <c r="A2924" s="9" t="str">
        <f>HYPERLINK("PDF\FOIA-FWS-2020-00724-0002923.pdf","FOIA-FWS-2020-00724-0002923")</f>
        <v>FOIA-FWS-2020-00724-0002923</v>
      </c>
      <c r="B2924" s="3" t="s">
        <v>4615</v>
      </c>
      <c r="C2924" s="3" t="s">
        <v>3</v>
      </c>
      <c r="D2924" s="3" t="s">
        <v>33</v>
      </c>
      <c r="E2924" s="3" t="s">
        <v>4616</v>
      </c>
      <c r="F2924" s="4">
        <v>43800</v>
      </c>
      <c r="G2924" s="3"/>
      <c r="H2924" s="3"/>
      <c r="I2924" s="3" t="s">
        <v>7043</v>
      </c>
      <c r="J2924" s="3"/>
      <c r="K2924" s="3"/>
      <c r="L2924" s="5"/>
    </row>
    <row r="2925" spans="1:12" ht="28.8" x14ac:dyDescent="0.55000000000000004">
      <c r="A2925" s="9" t="str">
        <f>HYPERLINK("PDF\FOIA-FWS-2020-00724-0002924.pdf","FOIA-FWS-2020-00724-0002924")</f>
        <v>FOIA-FWS-2020-00724-0002924</v>
      </c>
      <c r="B2925" s="3" t="s">
        <v>4617</v>
      </c>
      <c r="C2925" s="3" t="s">
        <v>3</v>
      </c>
      <c r="D2925" s="3" t="s">
        <v>33</v>
      </c>
      <c r="E2925" s="3" t="s">
        <v>4618</v>
      </c>
      <c r="F2925" s="4">
        <v>43800</v>
      </c>
      <c r="G2925" s="3"/>
      <c r="H2925" s="3"/>
      <c r="I2925" s="3" t="s">
        <v>7043</v>
      </c>
      <c r="J2925" s="3"/>
      <c r="K2925" s="3"/>
      <c r="L2925" s="5"/>
    </row>
    <row r="2926" spans="1:12" ht="28.8" x14ac:dyDescent="0.55000000000000004">
      <c r="A2926" s="9" t="str">
        <f>HYPERLINK("PDF\FOIA-FWS-2020-00724-0002925.pdf","FOIA-FWS-2020-00724-0002925")</f>
        <v>FOIA-FWS-2020-00724-0002925</v>
      </c>
      <c r="B2926" s="3" t="s">
        <v>4619</v>
      </c>
      <c r="C2926" s="3" t="s">
        <v>3</v>
      </c>
      <c r="D2926" s="3" t="s">
        <v>33</v>
      </c>
      <c r="E2926" s="3" t="s">
        <v>4620</v>
      </c>
      <c r="F2926" s="4">
        <v>43800</v>
      </c>
      <c r="G2926" s="3"/>
      <c r="H2926" s="3"/>
      <c r="I2926" s="3" t="s">
        <v>7043</v>
      </c>
      <c r="J2926" s="3"/>
      <c r="K2926" s="3"/>
      <c r="L2926" s="5"/>
    </row>
    <row r="2927" spans="1:12" ht="28.8" x14ac:dyDescent="0.55000000000000004">
      <c r="A2927" s="9" t="str">
        <f>HYPERLINK("PDF\FOIA-FWS-2020-00724-0002926.pdf","FOIA-FWS-2020-00724-0002926")</f>
        <v>FOIA-FWS-2020-00724-0002926</v>
      </c>
      <c r="B2927" s="3" t="s">
        <v>4621</v>
      </c>
      <c r="C2927" s="3" t="s">
        <v>3</v>
      </c>
      <c r="D2927" s="3" t="s">
        <v>33</v>
      </c>
      <c r="E2927" s="3" t="s">
        <v>4622</v>
      </c>
      <c r="F2927" s="4">
        <v>43800</v>
      </c>
      <c r="G2927" s="3"/>
      <c r="H2927" s="3"/>
      <c r="I2927" s="3" t="s">
        <v>7043</v>
      </c>
      <c r="J2927" s="3"/>
      <c r="K2927" s="3"/>
      <c r="L2927" s="5"/>
    </row>
    <row r="2928" spans="1:12" ht="28.8" x14ac:dyDescent="0.55000000000000004">
      <c r="A2928" s="9" t="str">
        <f>HYPERLINK("PDF\FOIA-FWS-2020-00724-0002927.pdf","FOIA-FWS-2020-00724-0002927")</f>
        <v>FOIA-FWS-2020-00724-0002927</v>
      </c>
      <c r="B2928" s="3" t="s">
        <v>4623</v>
      </c>
      <c r="C2928" s="3" t="s">
        <v>3</v>
      </c>
      <c r="D2928" s="3" t="s">
        <v>33</v>
      </c>
      <c r="E2928" s="3" t="s">
        <v>4616</v>
      </c>
      <c r="F2928" s="4">
        <v>43800</v>
      </c>
      <c r="G2928" s="3"/>
      <c r="H2928" s="3"/>
      <c r="I2928" s="3" t="s">
        <v>7043</v>
      </c>
      <c r="J2928" s="3"/>
      <c r="K2928" s="3"/>
      <c r="L2928" s="5"/>
    </row>
    <row r="2929" spans="1:12" ht="28.8" x14ac:dyDescent="0.55000000000000004">
      <c r="A2929" s="9" t="str">
        <f>HYPERLINK("PDF\FOIA-FWS-2020-00724-0002928.pdf","FOIA-FWS-2020-00724-0002928")</f>
        <v>FOIA-FWS-2020-00724-0002928</v>
      </c>
      <c r="B2929" s="3" t="s">
        <v>4624</v>
      </c>
      <c r="C2929" s="3" t="s">
        <v>3</v>
      </c>
      <c r="D2929" s="3" t="s">
        <v>38</v>
      </c>
      <c r="E2929" s="3" t="s">
        <v>4625</v>
      </c>
      <c r="F2929" s="4">
        <v>43800</v>
      </c>
      <c r="G2929" s="3"/>
      <c r="H2929" s="3"/>
      <c r="I2929" s="3" t="s">
        <v>7043</v>
      </c>
      <c r="J2929" s="3"/>
      <c r="K2929" s="3"/>
      <c r="L2929" s="5"/>
    </row>
    <row r="2930" spans="1:12" ht="28.8" x14ac:dyDescent="0.55000000000000004">
      <c r="A2930" s="9" t="str">
        <f>HYPERLINK("PDF\FOIA-FWS-2020-00724-0002929.pdf","FOIA-FWS-2020-00724-0002929")</f>
        <v>FOIA-FWS-2020-00724-0002929</v>
      </c>
      <c r="B2930" s="3" t="s">
        <v>4626</v>
      </c>
      <c r="C2930" s="3" t="s">
        <v>3</v>
      </c>
      <c r="D2930" s="3" t="s">
        <v>33</v>
      </c>
      <c r="E2930" s="3" t="s">
        <v>4627</v>
      </c>
      <c r="F2930" s="4">
        <v>43801</v>
      </c>
      <c r="G2930" s="3"/>
      <c r="H2930" s="3"/>
      <c r="I2930" s="3" t="s">
        <v>7043</v>
      </c>
      <c r="J2930" s="3"/>
      <c r="K2930" s="3"/>
      <c r="L2930" s="5"/>
    </row>
    <row r="2931" spans="1:12" ht="28.8" x14ac:dyDescent="0.55000000000000004">
      <c r="A2931" s="9" t="str">
        <f>HYPERLINK("PDF\FOIA-FWS-2020-00724-0002930.pdf","FOIA-FWS-2020-00724-0002930")</f>
        <v>FOIA-FWS-2020-00724-0002930</v>
      </c>
      <c r="B2931" s="3" t="s">
        <v>4628</v>
      </c>
      <c r="C2931" s="3" t="s">
        <v>3</v>
      </c>
      <c r="D2931" s="3" t="s">
        <v>38</v>
      </c>
      <c r="E2931" s="3" t="s">
        <v>4629</v>
      </c>
      <c r="F2931" s="4">
        <v>43801</v>
      </c>
      <c r="G2931" s="3"/>
      <c r="H2931" s="3"/>
      <c r="I2931" s="3" t="s">
        <v>7043</v>
      </c>
      <c r="J2931" s="3"/>
      <c r="K2931" s="3"/>
      <c r="L2931" s="5"/>
    </row>
    <row r="2932" spans="1:12" ht="28.8" x14ac:dyDescent="0.55000000000000004">
      <c r="A2932" s="9" t="str">
        <f>HYPERLINK("PDF\FOIA-FWS-2020-00724-0002931.pdf","FOIA-FWS-2020-00724-0002931")</f>
        <v>FOIA-FWS-2020-00724-0002931</v>
      </c>
      <c r="B2932" s="3" t="s">
        <v>4630</v>
      </c>
      <c r="C2932" s="3" t="s">
        <v>3</v>
      </c>
      <c r="D2932" s="3" t="s">
        <v>33</v>
      </c>
      <c r="E2932" s="3" t="s">
        <v>4631</v>
      </c>
      <c r="F2932" s="4">
        <v>43801.504166666666</v>
      </c>
      <c r="G2932" s="3" t="s">
        <v>963</v>
      </c>
      <c r="H2932" s="3" t="s">
        <v>919</v>
      </c>
      <c r="I2932" s="3" t="s">
        <v>7043</v>
      </c>
      <c r="J2932" s="3"/>
      <c r="K2932" s="3"/>
      <c r="L2932" s="5"/>
    </row>
    <row r="2933" spans="1:12" ht="28.8" x14ac:dyDescent="0.55000000000000004">
      <c r="A2933" s="9" t="str">
        <f>HYPERLINK("PDF\FOIA-FWS-2020-00724-0002932.pdf","FOIA-FWS-2020-00724-0002932")</f>
        <v>FOIA-FWS-2020-00724-0002932</v>
      </c>
      <c r="B2933" s="3" t="s">
        <v>4632</v>
      </c>
      <c r="C2933" s="3" t="s">
        <v>3</v>
      </c>
      <c r="D2933" s="3" t="s">
        <v>33</v>
      </c>
      <c r="E2933" s="3" t="s">
        <v>4633</v>
      </c>
      <c r="F2933" s="4">
        <v>43801.599305555559</v>
      </c>
      <c r="G2933" s="3" t="s">
        <v>945</v>
      </c>
      <c r="H2933" s="3" t="s">
        <v>963</v>
      </c>
      <c r="I2933" s="3" t="s">
        <v>7043</v>
      </c>
      <c r="J2933" s="3"/>
      <c r="K2933" s="3"/>
      <c r="L2933" s="5"/>
    </row>
    <row r="2934" spans="1:12" ht="28.8" x14ac:dyDescent="0.55000000000000004">
      <c r="A2934" s="9" t="str">
        <f>HYPERLINK("PDF\FOIA-FWS-2020-00724-0002933.pdf","FOIA-FWS-2020-00724-0002933")</f>
        <v>FOIA-FWS-2020-00724-0002933</v>
      </c>
      <c r="B2934" s="3" t="s">
        <v>4632</v>
      </c>
      <c r="C2934" s="3" t="s">
        <v>234</v>
      </c>
      <c r="D2934" s="3" t="s">
        <v>33</v>
      </c>
      <c r="E2934" s="3" t="s">
        <v>4634</v>
      </c>
      <c r="F2934" s="4">
        <v>43801.599305555559</v>
      </c>
      <c r="G2934" s="3"/>
      <c r="H2934" s="3"/>
      <c r="I2934" s="3" t="s">
        <v>7043</v>
      </c>
      <c r="J2934" s="3"/>
      <c r="K2934" s="3"/>
      <c r="L2934" s="5"/>
    </row>
    <row r="2935" spans="1:12" ht="28.8" x14ac:dyDescent="0.55000000000000004">
      <c r="A2935" s="9" t="str">
        <f>HYPERLINK("PDF\FOIA-FWS-2020-00724-0002934.pdf","FOIA-FWS-2020-00724-0002934")</f>
        <v>FOIA-FWS-2020-00724-0002934</v>
      </c>
      <c r="B2935" s="3" t="s">
        <v>4635</v>
      </c>
      <c r="C2935" s="3" t="s">
        <v>3</v>
      </c>
      <c r="D2935" s="3" t="s">
        <v>33</v>
      </c>
      <c r="E2935" s="3" t="s">
        <v>4636</v>
      </c>
      <c r="F2935" s="4">
        <v>43801.747916666667</v>
      </c>
      <c r="G2935" s="3" t="s">
        <v>1392</v>
      </c>
      <c r="H2935" s="3" t="s">
        <v>955</v>
      </c>
      <c r="I2935" s="3" t="s">
        <v>7043</v>
      </c>
      <c r="J2935" s="3"/>
      <c r="K2935" s="3"/>
      <c r="L2935" s="5"/>
    </row>
    <row r="2936" spans="1:12" ht="28.8" x14ac:dyDescent="0.55000000000000004">
      <c r="A2936" s="9" t="str">
        <f>HYPERLINK("PDF\FOIA-FWS-2020-00724-0002935.pdf","FOIA-FWS-2020-00724-0002935")</f>
        <v>FOIA-FWS-2020-00724-0002935</v>
      </c>
      <c r="B2936" s="3" t="s">
        <v>4637</v>
      </c>
      <c r="C2936" s="3" t="s">
        <v>3</v>
      </c>
      <c r="D2936" s="3" t="s">
        <v>33</v>
      </c>
      <c r="E2936" s="3" t="s">
        <v>4638</v>
      </c>
      <c r="F2936" s="4">
        <v>43801.759027777778</v>
      </c>
      <c r="G2936" s="3" t="s">
        <v>1730</v>
      </c>
      <c r="H2936" s="3" t="s">
        <v>1332</v>
      </c>
      <c r="I2936" s="3" t="s">
        <v>7043</v>
      </c>
      <c r="J2936" s="3"/>
      <c r="K2936" s="3"/>
      <c r="L2936" s="5"/>
    </row>
    <row r="2937" spans="1:12" ht="28.8" x14ac:dyDescent="0.55000000000000004">
      <c r="A2937" s="9" t="str">
        <f>HYPERLINK("PDF\FOIA-FWS-2020-00724-0002936.pdf","FOIA-FWS-2020-00724-0002936")</f>
        <v>FOIA-FWS-2020-00724-0002936</v>
      </c>
      <c r="B2937" s="3" t="s">
        <v>4637</v>
      </c>
      <c r="C2937" s="3" t="s">
        <v>234</v>
      </c>
      <c r="D2937" s="3" t="s">
        <v>160</v>
      </c>
      <c r="E2937" s="3" t="s">
        <v>4639</v>
      </c>
      <c r="F2937" s="4">
        <v>43801.759027777778</v>
      </c>
      <c r="G2937" s="3"/>
      <c r="H2937" s="3"/>
      <c r="I2937" s="3" t="s">
        <v>7043</v>
      </c>
      <c r="J2937" s="3"/>
      <c r="K2937" s="3"/>
      <c r="L2937" s="5" t="str">
        <f>HYPERLINK("NATIVE_FILES\FOIA-FWS-2020-00724-0002936.dbf","FOIA-FWS-2020-00724-0002936.dbf")</f>
        <v>FOIA-FWS-2020-00724-0002936.dbf</v>
      </c>
    </row>
    <row r="2938" spans="1:12" ht="28.8" x14ac:dyDescent="0.55000000000000004">
      <c r="A2938" s="9" t="str">
        <f>HYPERLINK("PDF\FOIA-FWS-2020-00724-0002937.pdf","FOIA-FWS-2020-00724-0002937")</f>
        <v>FOIA-FWS-2020-00724-0002937</v>
      </c>
      <c r="B2938" s="3" t="s">
        <v>4637</v>
      </c>
      <c r="C2938" s="3" t="s">
        <v>234</v>
      </c>
      <c r="D2938" s="3" t="s">
        <v>160</v>
      </c>
      <c r="E2938" s="3" t="s">
        <v>4640</v>
      </c>
      <c r="F2938" s="4">
        <v>43801.759027777778</v>
      </c>
      <c r="G2938" s="3"/>
      <c r="H2938" s="3"/>
      <c r="I2938" s="3" t="s">
        <v>7043</v>
      </c>
      <c r="J2938" s="3"/>
      <c r="K2938" s="3"/>
      <c r="L2938" s="5" t="str">
        <f>HYPERLINK("NATIVE_FILES\FOIA-FWS-2020-00724-0002937.prj","FOIA-FWS-2020-00724-0002937.prj")</f>
        <v>FOIA-FWS-2020-00724-0002937.prj</v>
      </c>
    </row>
    <row r="2939" spans="1:12" ht="28.8" x14ac:dyDescent="0.55000000000000004">
      <c r="A2939" s="9" t="str">
        <f>HYPERLINK("PDF\FOIA-FWS-2020-00724-0002938.pdf","FOIA-FWS-2020-00724-0002938")</f>
        <v>FOIA-FWS-2020-00724-0002938</v>
      </c>
      <c r="B2939" s="3" t="s">
        <v>4637</v>
      </c>
      <c r="C2939" s="3" t="s">
        <v>234</v>
      </c>
      <c r="D2939" s="3" t="s">
        <v>160</v>
      </c>
      <c r="E2939" s="3" t="s">
        <v>4641</v>
      </c>
      <c r="F2939" s="4">
        <v>43801.759027777778</v>
      </c>
      <c r="G2939" s="3"/>
      <c r="H2939" s="3"/>
      <c r="I2939" s="3" t="s">
        <v>7043</v>
      </c>
      <c r="J2939" s="3"/>
      <c r="K2939" s="3"/>
      <c r="L2939" s="5" t="str">
        <f>HYPERLINK("NATIVE_FILES\FOIA-FWS-2020-00724-0002938.sbn","FOIA-FWS-2020-00724-0002938.sbn")</f>
        <v>FOIA-FWS-2020-00724-0002938.sbn</v>
      </c>
    </row>
    <row r="2940" spans="1:12" ht="28.8" x14ac:dyDescent="0.55000000000000004">
      <c r="A2940" s="9" t="str">
        <f>HYPERLINK("PDF\FOIA-FWS-2020-00724-0002939.pdf","FOIA-FWS-2020-00724-0002939")</f>
        <v>FOIA-FWS-2020-00724-0002939</v>
      </c>
      <c r="B2940" s="3" t="s">
        <v>4637</v>
      </c>
      <c r="C2940" s="3" t="s">
        <v>234</v>
      </c>
      <c r="D2940" s="3" t="s">
        <v>160</v>
      </c>
      <c r="E2940" s="3" t="s">
        <v>4642</v>
      </c>
      <c r="F2940" s="4">
        <v>43801.759027777778</v>
      </c>
      <c r="G2940" s="3"/>
      <c r="H2940" s="3"/>
      <c r="I2940" s="3" t="s">
        <v>7043</v>
      </c>
      <c r="J2940" s="3"/>
      <c r="K2940" s="3"/>
      <c r="L2940" s="5" t="str">
        <f>HYPERLINK("NATIVE_FILES\FOIA-FWS-2020-00724-0002939.sbx","FOIA-FWS-2020-00724-0002939.sbx")</f>
        <v>FOIA-FWS-2020-00724-0002939.sbx</v>
      </c>
    </row>
    <row r="2941" spans="1:12" ht="28.8" x14ac:dyDescent="0.55000000000000004">
      <c r="A2941" s="9" t="str">
        <f>HYPERLINK("PDF\FOIA-FWS-2020-00724-0002940.pdf","FOIA-FWS-2020-00724-0002940")</f>
        <v>FOIA-FWS-2020-00724-0002940</v>
      </c>
      <c r="B2941" s="3" t="s">
        <v>4637</v>
      </c>
      <c r="C2941" s="3" t="s">
        <v>234</v>
      </c>
      <c r="D2941" s="3" t="s">
        <v>160</v>
      </c>
      <c r="E2941" s="3" t="s">
        <v>4643</v>
      </c>
      <c r="F2941" s="4">
        <v>43801.759027777778</v>
      </c>
      <c r="G2941" s="3"/>
      <c r="H2941" s="3"/>
      <c r="I2941" s="3" t="s">
        <v>7043</v>
      </c>
      <c r="J2941" s="3"/>
      <c r="K2941" s="3"/>
      <c r="L2941" s="5" t="str">
        <f>HYPERLINK("NATIVE_FILES\FOIA-FWS-2020-00724-0002940.shp","FOIA-FWS-2020-00724-0002940.shp")</f>
        <v>FOIA-FWS-2020-00724-0002940.shp</v>
      </c>
    </row>
    <row r="2942" spans="1:12" ht="28.8" x14ac:dyDescent="0.55000000000000004">
      <c r="A2942" s="9" t="str">
        <f>HYPERLINK("PDF\FOIA-FWS-2020-00724-0002941.pdf","FOIA-FWS-2020-00724-0002941")</f>
        <v>FOIA-FWS-2020-00724-0002941</v>
      </c>
      <c r="B2942" s="3" t="s">
        <v>4637</v>
      </c>
      <c r="C2942" s="3" t="s">
        <v>234</v>
      </c>
      <c r="D2942" s="3" t="s">
        <v>160</v>
      </c>
      <c r="E2942" s="3" t="s">
        <v>4644</v>
      </c>
      <c r="F2942" s="4">
        <v>43801.759027777778</v>
      </c>
      <c r="G2942" s="3"/>
      <c r="H2942" s="3"/>
      <c r="I2942" s="3" t="s">
        <v>7043</v>
      </c>
      <c r="J2942" s="3"/>
      <c r="K2942" s="3"/>
      <c r="L2942" s="5" t="str">
        <f>HYPERLINK("NATIVE_FILES\FOIA-FWS-2020-00724-0002941.xml","FOIA-FWS-2020-00724-0002941.xml")</f>
        <v>FOIA-FWS-2020-00724-0002941.xml</v>
      </c>
    </row>
    <row r="2943" spans="1:12" ht="28.8" x14ac:dyDescent="0.55000000000000004">
      <c r="A2943" s="9" t="str">
        <f>HYPERLINK("PDF\FOIA-FWS-2020-00724-0002942.pdf","FOIA-FWS-2020-00724-0002942")</f>
        <v>FOIA-FWS-2020-00724-0002942</v>
      </c>
      <c r="B2943" s="3" t="s">
        <v>4637</v>
      </c>
      <c r="C2943" s="3" t="s">
        <v>234</v>
      </c>
      <c r="D2943" s="3" t="s">
        <v>160</v>
      </c>
      <c r="E2943" s="3" t="s">
        <v>4645</v>
      </c>
      <c r="F2943" s="4">
        <v>43801.759027777778</v>
      </c>
      <c r="G2943" s="3"/>
      <c r="H2943" s="3"/>
      <c r="I2943" s="3" t="s">
        <v>7043</v>
      </c>
      <c r="J2943" s="3"/>
      <c r="K2943" s="3"/>
      <c r="L2943" s="5" t="str">
        <f>HYPERLINK("NATIVE_FILES\FOIA-FWS-2020-00724-0002942.shx","FOIA-FWS-2020-00724-0002942.shx")</f>
        <v>FOIA-FWS-2020-00724-0002942.shx</v>
      </c>
    </row>
    <row r="2944" spans="1:12" ht="28.8" x14ac:dyDescent="0.55000000000000004">
      <c r="A2944" s="9" t="str">
        <f>HYPERLINK("PDF\FOIA-FWS-2020-00724-0002943.pdf","FOIA-FWS-2020-00724-0002943")</f>
        <v>FOIA-FWS-2020-00724-0002943</v>
      </c>
      <c r="B2944" s="3" t="s">
        <v>4646</v>
      </c>
      <c r="C2944" s="3" t="s">
        <v>3</v>
      </c>
      <c r="D2944" s="3" t="s">
        <v>33</v>
      </c>
      <c r="E2944" s="3" t="s">
        <v>4647</v>
      </c>
      <c r="F2944" s="4">
        <v>43802.527777777781</v>
      </c>
      <c r="G2944" s="3" t="s">
        <v>1392</v>
      </c>
      <c r="H2944" s="3" t="s">
        <v>963</v>
      </c>
      <c r="I2944" s="3" t="s">
        <v>7043</v>
      </c>
      <c r="J2944" s="3"/>
      <c r="K2944" s="3"/>
      <c r="L2944" s="5"/>
    </row>
    <row r="2945" spans="1:12" ht="28.8" x14ac:dyDescent="0.55000000000000004">
      <c r="A2945" s="9" t="str">
        <f>HYPERLINK("PDF\FOIA-FWS-2020-00724-0002944.pdf","FOIA-FWS-2020-00724-0002944")</f>
        <v>FOIA-FWS-2020-00724-0002944</v>
      </c>
      <c r="B2945" s="3" t="s">
        <v>4646</v>
      </c>
      <c r="C2945" s="3" t="s">
        <v>234</v>
      </c>
      <c r="D2945" s="3" t="s">
        <v>33</v>
      </c>
      <c r="E2945" s="3" t="s">
        <v>4648</v>
      </c>
      <c r="F2945" s="4">
        <v>43802.527777777781</v>
      </c>
      <c r="G2945" s="3"/>
      <c r="H2945" s="3"/>
      <c r="I2945" s="3" t="s">
        <v>7043</v>
      </c>
      <c r="J2945" s="3"/>
      <c r="K2945" s="3"/>
      <c r="L2945" s="5"/>
    </row>
    <row r="2946" spans="1:12" ht="28.8" x14ac:dyDescent="0.55000000000000004">
      <c r="A2946" s="9" t="str">
        <f>HYPERLINK("PDF\FOIA-FWS-2020-00724-0002945.pdf","FOIA-FWS-2020-00724-0002945")</f>
        <v>FOIA-FWS-2020-00724-0002945</v>
      </c>
      <c r="B2946" s="3" t="s">
        <v>4649</v>
      </c>
      <c r="C2946" s="3" t="s">
        <v>3</v>
      </c>
      <c r="D2946" s="3" t="s">
        <v>33</v>
      </c>
      <c r="E2946" s="3" t="s">
        <v>4650</v>
      </c>
      <c r="F2946" s="4">
        <v>43802.63958333333</v>
      </c>
      <c r="G2946" s="3" t="s">
        <v>1012</v>
      </c>
      <c r="H2946" s="3" t="s">
        <v>2179</v>
      </c>
      <c r="I2946" s="3" t="s">
        <v>7043</v>
      </c>
      <c r="J2946" s="3"/>
      <c r="K2946" s="3"/>
      <c r="L2946" s="5"/>
    </row>
    <row r="2947" spans="1:12" ht="28.8" x14ac:dyDescent="0.55000000000000004">
      <c r="A2947" s="9" t="str">
        <f>HYPERLINK("PDF\FOIA-FWS-2020-00724-0002946.pdf","FOIA-FWS-2020-00724-0002946")</f>
        <v>FOIA-FWS-2020-00724-0002946</v>
      </c>
      <c r="B2947" s="3" t="s">
        <v>4651</v>
      </c>
      <c r="C2947" s="3" t="s">
        <v>3</v>
      </c>
      <c r="D2947" s="3" t="s">
        <v>33</v>
      </c>
      <c r="E2947" s="3" t="s">
        <v>4652</v>
      </c>
      <c r="F2947" s="4">
        <v>43802.709027777775</v>
      </c>
      <c r="G2947" s="3" t="s">
        <v>1489</v>
      </c>
      <c r="H2947" s="3" t="s">
        <v>1119</v>
      </c>
      <c r="I2947" s="3" t="s">
        <v>7043</v>
      </c>
      <c r="J2947" s="3"/>
      <c r="K2947" s="3"/>
      <c r="L2947" s="5"/>
    </row>
    <row r="2948" spans="1:12" ht="28.8" x14ac:dyDescent="0.55000000000000004">
      <c r="A2948" s="9" t="str">
        <f>HYPERLINK("PDF\FOIA-FWS-2020-00724-0002947.pdf","FOIA-FWS-2020-00724-0002947")</f>
        <v>FOIA-FWS-2020-00724-0002947</v>
      </c>
      <c r="B2948" s="3" t="s">
        <v>4651</v>
      </c>
      <c r="C2948" s="3" t="s">
        <v>234</v>
      </c>
      <c r="D2948" s="3" t="s">
        <v>33</v>
      </c>
      <c r="E2948" s="3" t="s">
        <v>4653</v>
      </c>
      <c r="F2948" s="4">
        <v>43802.709027777775</v>
      </c>
      <c r="G2948" s="3"/>
      <c r="H2948" s="3"/>
      <c r="I2948" s="3" t="s">
        <v>7043</v>
      </c>
      <c r="J2948" s="3"/>
      <c r="K2948" s="3"/>
      <c r="L2948" s="5"/>
    </row>
    <row r="2949" spans="1:12" ht="28.8" x14ac:dyDescent="0.55000000000000004">
      <c r="A2949" s="9" t="str">
        <f>HYPERLINK("PDF\FOIA-FWS-2020-00724-0002948.pdf","FOIA-FWS-2020-00724-0002948")</f>
        <v>FOIA-FWS-2020-00724-0002948</v>
      </c>
      <c r="B2949" s="3" t="s">
        <v>4651</v>
      </c>
      <c r="C2949" s="3" t="s">
        <v>234</v>
      </c>
      <c r="D2949" s="3" t="s">
        <v>33</v>
      </c>
      <c r="E2949" s="3" t="s">
        <v>4654</v>
      </c>
      <c r="F2949" s="4">
        <v>43802.709027777775</v>
      </c>
      <c r="G2949" s="3"/>
      <c r="H2949" s="3"/>
      <c r="I2949" s="3" t="s">
        <v>7043</v>
      </c>
      <c r="J2949" s="3"/>
      <c r="K2949" s="3"/>
      <c r="L2949" s="5"/>
    </row>
    <row r="2950" spans="1:12" ht="129.6" x14ac:dyDescent="0.55000000000000004">
      <c r="A2950" s="9" t="str">
        <f>HYPERLINK("PDF\FOIA-FWS-2020-00724-0002949.pdf","FOIA-FWS-2020-00724-0002949")</f>
        <v>FOIA-FWS-2020-00724-0002949</v>
      </c>
      <c r="B2950" s="3" t="s">
        <v>4655</v>
      </c>
      <c r="C2950" s="3" t="s">
        <v>3</v>
      </c>
      <c r="D2950" s="3" t="s">
        <v>33</v>
      </c>
      <c r="E2950" s="3" t="s">
        <v>4657</v>
      </c>
      <c r="F2950" s="4">
        <v>43802.720833333333</v>
      </c>
      <c r="G2950" s="3" t="s">
        <v>852</v>
      </c>
      <c r="H2950" s="3" t="s">
        <v>4656</v>
      </c>
      <c r="I2950" s="3" t="s">
        <v>7044</v>
      </c>
      <c r="J2950" s="3" t="s">
        <v>7046</v>
      </c>
      <c r="K2950" s="3" t="s">
        <v>7036</v>
      </c>
      <c r="L2950" s="5"/>
    </row>
    <row r="2951" spans="1:12" ht="28.8" x14ac:dyDescent="0.55000000000000004">
      <c r="A2951" s="9" t="str">
        <f>HYPERLINK("PDF\FOIA-FWS-2020-00724-0002950.pdf","FOIA-FWS-2020-00724-0002950")</f>
        <v>FOIA-FWS-2020-00724-0002950</v>
      </c>
      <c r="B2951" s="3" t="s">
        <v>4655</v>
      </c>
      <c r="C2951" s="3" t="s">
        <v>234</v>
      </c>
      <c r="D2951" s="3" t="s">
        <v>33</v>
      </c>
      <c r="E2951" s="3" t="s">
        <v>4658</v>
      </c>
      <c r="F2951" s="4">
        <v>43802.720833333333</v>
      </c>
      <c r="G2951" s="3"/>
      <c r="H2951" s="3"/>
      <c r="I2951" s="3" t="s">
        <v>7043</v>
      </c>
      <c r="J2951" s="3"/>
      <c r="K2951" s="3"/>
      <c r="L2951" s="5"/>
    </row>
    <row r="2952" spans="1:12" ht="28.8" x14ac:dyDescent="0.55000000000000004">
      <c r="A2952" s="9" t="str">
        <f>HYPERLINK("PDF\FOIA-FWS-2020-00724-0002951.pdf","FOIA-FWS-2020-00724-0002951")</f>
        <v>FOIA-FWS-2020-00724-0002951</v>
      </c>
      <c r="B2952" s="3" t="s">
        <v>4659</v>
      </c>
      <c r="C2952" s="3" t="s">
        <v>3</v>
      </c>
      <c r="D2952" s="3" t="s">
        <v>33</v>
      </c>
      <c r="E2952" s="3" t="s">
        <v>4660</v>
      </c>
      <c r="F2952" s="4">
        <v>43802.857638888891</v>
      </c>
      <c r="G2952" s="3" t="s">
        <v>1489</v>
      </c>
      <c r="H2952" s="3" t="s">
        <v>1119</v>
      </c>
      <c r="I2952" s="3" t="s">
        <v>7043</v>
      </c>
      <c r="J2952" s="3"/>
      <c r="K2952" s="3"/>
      <c r="L2952" s="5"/>
    </row>
    <row r="2953" spans="1:12" ht="28.8" x14ac:dyDescent="0.55000000000000004">
      <c r="A2953" s="9" t="str">
        <f>HYPERLINK("PDF\FOIA-FWS-2020-00724-0002952.pdf","FOIA-FWS-2020-00724-0002952")</f>
        <v>FOIA-FWS-2020-00724-0002952</v>
      </c>
      <c r="B2953" s="3" t="s">
        <v>4659</v>
      </c>
      <c r="C2953" s="3" t="s">
        <v>234</v>
      </c>
      <c r="D2953" s="3" t="s">
        <v>33</v>
      </c>
      <c r="E2953" s="3" t="s">
        <v>4661</v>
      </c>
      <c r="F2953" s="4">
        <v>43802.857638888891</v>
      </c>
      <c r="G2953" s="3"/>
      <c r="H2953" s="3"/>
      <c r="I2953" s="3" t="s">
        <v>7043</v>
      </c>
      <c r="J2953" s="3"/>
      <c r="K2953" s="3"/>
      <c r="L2953" s="5"/>
    </row>
    <row r="2954" spans="1:12" ht="28.8" x14ac:dyDescent="0.55000000000000004">
      <c r="A2954" s="9" t="str">
        <f>HYPERLINK("PDF\FOIA-FWS-2020-00724-0002953.pdf","FOIA-FWS-2020-00724-0002953")</f>
        <v>FOIA-FWS-2020-00724-0002953</v>
      </c>
      <c r="B2954" s="3" t="s">
        <v>4659</v>
      </c>
      <c r="C2954" s="3" t="s">
        <v>234</v>
      </c>
      <c r="D2954" s="3" t="s">
        <v>33</v>
      </c>
      <c r="E2954" s="3" t="s">
        <v>4662</v>
      </c>
      <c r="F2954" s="4">
        <v>43802.857638888891</v>
      </c>
      <c r="G2954" s="3"/>
      <c r="H2954" s="3"/>
      <c r="I2954" s="3" t="s">
        <v>7043</v>
      </c>
      <c r="J2954" s="3"/>
      <c r="K2954" s="3"/>
      <c r="L2954" s="5"/>
    </row>
    <row r="2955" spans="1:12" ht="28.8" x14ac:dyDescent="0.55000000000000004">
      <c r="A2955" s="9" t="str">
        <f>HYPERLINK("PDF\FOIA-FWS-2020-00724-0002954.pdf","FOIA-FWS-2020-00724-0002954")</f>
        <v>FOIA-FWS-2020-00724-0002954</v>
      </c>
      <c r="B2955" s="3" t="s">
        <v>4659</v>
      </c>
      <c r="C2955" s="3" t="s">
        <v>234</v>
      </c>
      <c r="D2955" s="3" t="s">
        <v>33</v>
      </c>
      <c r="E2955" s="3" t="s">
        <v>4663</v>
      </c>
      <c r="F2955" s="4">
        <v>43802.857638888891</v>
      </c>
      <c r="G2955" s="3"/>
      <c r="H2955" s="3"/>
      <c r="I2955" s="3" t="s">
        <v>7043</v>
      </c>
      <c r="J2955" s="3"/>
      <c r="K2955" s="3"/>
      <c r="L2955" s="5"/>
    </row>
    <row r="2956" spans="1:12" ht="28.8" x14ac:dyDescent="0.55000000000000004">
      <c r="A2956" s="9" t="str">
        <f>HYPERLINK("PDF\FOIA-FWS-2020-00724-0002955.pdf","FOIA-FWS-2020-00724-0002955")</f>
        <v>FOIA-FWS-2020-00724-0002955</v>
      </c>
      <c r="B2956" s="3" t="s">
        <v>4659</v>
      </c>
      <c r="C2956" s="3" t="s">
        <v>234</v>
      </c>
      <c r="D2956" s="3" t="s">
        <v>33</v>
      </c>
      <c r="E2956" s="3" t="s">
        <v>4664</v>
      </c>
      <c r="F2956" s="4">
        <v>43802.857638888891</v>
      </c>
      <c r="G2956" s="3"/>
      <c r="H2956" s="3"/>
      <c r="I2956" s="3" t="s">
        <v>7043</v>
      </c>
      <c r="J2956" s="3"/>
      <c r="K2956" s="3"/>
      <c r="L2956" s="5"/>
    </row>
    <row r="2957" spans="1:12" ht="28.8" x14ac:dyDescent="0.55000000000000004">
      <c r="A2957" s="9" t="str">
        <f>HYPERLINK("PDF\FOIA-FWS-2020-00724-0002956.pdf","FOIA-FWS-2020-00724-0002956")</f>
        <v>FOIA-FWS-2020-00724-0002956</v>
      </c>
      <c r="B2957" s="3" t="s">
        <v>4659</v>
      </c>
      <c r="C2957" s="3" t="s">
        <v>234</v>
      </c>
      <c r="D2957" s="3" t="s">
        <v>33</v>
      </c>
      <c r="E2957" s="3" t="s">
        <v>4665</v>
      </c>
      <c r="F2957" s="4">
        <v>43802.857638888891</v>
      </c>
      <c r="G2957" s="3"/>
      <c r="H2957" s="3"/>
      <c r="I2957" s="3" t="s">
        <v>7043</v>
      </c>
      <c r="J2957" s="3"/>
      <c r="K2957" s="3"/>
      <c r="L2957" s="5"/>
    </row>
    <row r="2958" spans="1:12" ht="28.8" x14ac:dyDescent="0.55000000000000004">
      <c r="A2958" s="9" t="str">
        <f>HYPERLINK("PDF\FOIA-FWS-2020-00724-0002957.pdf","FOIA-FWS-2020-00724-0002957")</f>
        <v>FOIA-FWS-2020-00724-0002957</v>
      </c>
      <c r="B2958" s="3" t="s">
        <v>4659</v>
      </c>
      <c r="C2958" s="3" t="s">
        <v>234</v>
      </c>
      <c r="D2958" s="3" t="s">
        <v>33</v>
      </c>
      <c r="E2958" s="3" t="s">
        <v>4666</v>
      </c>
      <c r="F2958" s="4">
        <v>43802.857638888891</v>
      </c>
      <c r="G2958" s="3"/>
      <c r="H2958" s="3"/>
      <c r="I2958" s="3" t="s">
        <v>7043</v>
      </c>
      <c r="J2958" s="3"/>
      <c r="K2958" s="3"/>
      <c r="L2958" s="5"/>
    </row>
    <row r="2959" spans="1:12" ht="28.8" x14ac:dyDescent="0.55000000000000004">
      <c r="A2959" s="9" t="str">
        <f>HYPERLINK("PDF\FOIA-FWS-2020-00724-0002958.pdf","FOIA-FWS-2020-00724-0002958")</f>
        <v>FOIA-FWS-2020-00724-0002958</v>
      </c>
      <c r="B2959" s="3" t="s">
        <v>4667</v>
      </c>
      <c r="C2959" s="3" t="s">
        <v>3</v>
      </c>
      <c r="D2959" s="3" t="s">
        <v>33</v>
      </c>
      <c r="E2959" s="3" t="s">
        <v>4668</v>
      </c>
      <c r="F2959" s="4">
        <v>43803</v>
      </c>
      <c r="G2959" s="3"/>
      <c r="H2959" s="3"/>
      <c r="I2959" s="3" t="s">
        <v>7043</v>
      </c>
      <c r="J2959" s="3"/>
      <c r="K2959" s="3"/>
      <c r="L2959" s="5"/>
    </row>
    <row r="2960" spans="1:12" ht="28.8" x14ac:dyDescent="0.55000000000000004">
      <c r="A2960" s="9" t="str">
        <f>HYPERLINK("PDF\FOIA-FWS-2020-00724-0002959.pdf","FOIA-FWS-2020-00724-0002959")</f>
        <v>FOIA-FWS-2020-00724-0002959</v>
      </c>
      <c r="B2960" s="3" t="s">
        <v>4669</v>
      </c>
      <c r="C2960" s="3" t="s">
        <v>3</v>
      </c>
      <c r="D2960" s="3" t="s">
        <v>38</v>
      </c>
      <c r="E2960" s="3" t="s">
        <v>4670</v>
      </c>
      <c r="F2960" s="4">
        <v>43803</v>
      </c>
      <c r="G2960" s="3"/>
      <c r="H2960" s="3"/>
      <c r="I2960" s="3" t="s">
        <v>7043</v>
      </c>
      <c r="J2960" s="3"/>
      <c r="K2960" s="3"/>
      <c r="L2960" s="5"/>
    </row>
    <row r="2961" spans="1:12" ht="129.6" x14ac:dyDescent="0.55000000000000004">
      <c r="A2961" s="9" t="str">
        <f>HYPERLINK("PDF\FOIA-FWS-2020-00724-0002960.pdf","FOIA-FWS-2020-00724-0002960")</f>
        <v>FOIA-FWS-2020-00724-0002960</v>
      </c>
      <c r="B2961" s="3" t="s">
        <v>4671</v>
      </c>
      <c r="C2961" s="3" t="s">
        <v>3</v>
      </c>
      <c r="D2961" s="3" t="s">
        <v>33</v>
      </c>
      <c r="E2961" s="3" t="s">
        <v>4672</v>
      </c>
      <c r="F2961" s="4">
        <v>43803.661111111112</v>
      </c>
      <c r="G2961" s="3" t="s">
        <v>1617</v>
      </c>
      <c r="H2961" s="3" t="s">
        <v>4043</v>
      </c>
      <c r="I2961" s="3" t="s">
        <v>7044</v>
      </c>
      <c r="J2961" s="3" t="s">
        <v>7046</v>
      </c>
      <c r="K2961" s="3" t="s">
        <v>7036</v>
      </c>
      <c r="L2961" s="5"/>
    </row>
    <row r="2962" spans="1:12" ht="28.8" x14ac:dyDescent="0.55000000000000004">
      <c r="A2962" s="9" t="str">
        <f>HYPERLINK("PDF\FOIA-FWS-2020-00724-0002961.pdf","FOIA-FWS-2020-00724-0002961")</f>
        <v>FOIA-FWS-2020-00724-0002961</v>
      </c>
      <c r="B2962" s="3" t="s">
        <v>4673</v>
      </c>
      <c r="C2962" s="3" t="s">
        <v>3</v>
      </c>
      <c r="D2962" s="3" t="s">
        <v>33</v>
      </c>
      <c r="E2962" s="3" t="s">
        <v>4660</v>
      </c>
      <c r="F2962" s="4">
        <v>43803.720833333333</v>
      </c>
      <c r="G2962" s="3" t="s">
        <v>1489</v>
      </c>
      <c r="H2962" s="3" t="s">
        <v>1119</v>
      </c>
      <c r="I2962" s="3" t="s">
        <v>7043</v>
      </c>
      <c r="J2962" s="3"/>
      <c r="K2962" s="3"/>
      <c r="L2962" s="5"/>
    </row>
    <row r="2963" spans="1:12" ht="28.8" x14ac:dyDescent="0.55000000000000004">
      <c r="A2963" s="9" t="str">
        <f>HYPERLINK("PDF\FOIA-FWS-2020-00724-0002962.pdf","FOIA-FWS-2020-00724-0002962")</f>
        <v>FOIA-FWS-2020-00724-0002962</v>
      </c>
      <c r="B2963" s="3" t="s">
        <v>4673</v>
      </c>
      <c r="C2963" s="3" t="s">
        <v>234</v>
      </c>
      <c r="D2963" s="3" t="s">
        <v>33</v>
      </c>
      <c r="E2963" s="3" t="s">
        <v>4674</v>
      </c>
      <c r="F2963" s="4">
        <v>43803.720833333333</v>
      </c>
      <c r="G2963" s="3"/>
      <c r="H2963" s="3"/>
      <c r="I2963" s="3" t="s">
        <v>7043</v>
      </c>
      <c r="J2963" s="3"/>
      <c r="K2963" s="3"/>
      <c r="L2963" s="5"/>
    </row>
    <row r="2964" spans="1:12" ht="28.8" x14ac:dyDescent="0.55000000000000004">
      <c r="A2964" s="9" t="str">
        <f>HYPERLINK("PDF\FOIA-FWS-2020-00724-0002963.pdf","FOIA-FWS-2020-00724-0002963")</f>
        <v>FOIA-FWS-2020-00724-0002963</v>
      </c>
      <c r="B2964" s="3" t="s">
        <v>4675</v>
      </c>
      <c r="C2964" s="3" t="s">
        <v>3</v>
      </c>
      <c r="D2964" s="3" t="s">
        <v>33</v>
      </c>
      <c r="E2964" s="3" t="s">
        <v>4660</v>
      </c>
      <c r="F2964" s="4">
        <v>43803.73541666667</v>
      </c>
      <c r="G2964" s="3" t="s">
        <v>1119</v>
      </c>
      <c r="H2964" s="3" t="s">
        <v>1489</v>
      </c>
      <c r="I2964" s="3" t="s">
        <v>7043</v>
      </c>
      <c r="J2964" s="3"/>
      <c r="K2964" s="3"/>
      <c r="L2964" s="5"/>
    </row>
    <row r="2965" spans="1:12" ht="43.2" x14ac:dyDescent="0.55000000000000004">
      <c r="A2965" s="9" t="str">
        <f>HYPERLINK("PDF\FOIA-FWS-2020-00724-0002964.pdf","FOIA-FWS-2020-00724-0002964")</f>
        <v>FOIA-FWS-2020-00724-0002964</v>
      </c>
      <c r="B2965" s="3" t="s">
        <v>4675</v>
      </c>
      <c r="C2965" s="3" t="s">
        <v>234</v>
      </c>
      <c r="D2965" s="3" t="s">
        <v>33</v>
      </c>
      <c r="E2965" s="3" t="s">
        <v>4676</v>
      </c>
      <c r="F2965" s="4">
        <v>43803.73541666667</v>
      </c>
      <c r="G2965" s="3"/>
      <c r="H2965" s="3"/>
      <c r="I2965" s="3" t="s">
        <v>7043</v>
      </c>
      <c r="J2965" s="3"/>
      <c r="K2965" s="3"/>
      <c r="L2965" s="5"/>
    </row>
    <row r="2966" spans="1:12" ht="28.8" x14ac:dyDescent="0.55000000000000004">
      <c r="A2966" s="9" t="str">
        <f>HYPERLINK("PDF\FOIA-FWS-2020-00724-0002965.pdf","FOIA-FWS-2020-00724-0002965")</f>
        <v>FOIA-FWS-2020-00724-0002965</v>
      </c>
      <c r="B2966" s="3" t="s">
        <v>4675</v>
      </c>
      <c r="C2966" s="3" t="s">
        <v>234</v>
      </c>
      <c r="D2966" s="3" t="s">
        <v>160</v>
      </c>
      <c r="E2966" s="3" t="s">
        <v>4677</v>
      </c>
      <c r="F2966" s="4">
        <v>43803.73541666667</v>
      </c>
      <c r="G2966" s="3"/>
      <c r="H2966" s="3"/>
      <c r="I2966" s="3" t="s">
        <v>7043</v>
      </c>
      <c r="J2966" s="3"/>
      <c r="K2966" s="3"/>
      <c r="L2966" s="5" t="str">
        <f>HYPERLINK("NATIVE_FILES\FOIA-FWS-2020-00724-0002965.dbf","FOIA-FWS-2020-00724-0002965.dbf")</f>
        <v>FOIA-FWS-2020-00724-0002965.dbf</v>
      </c>
    </row>
    <row r="2967" spans="1:12" ht="28.8" x14ac:dyDescent="0.55000000000000004">
      <c r="A2967" s="9" t="str">
        <f>HYPERLINK("PDF\FOIA-FWS-2020-00724-0002966.pdf","FOIA-FWS-2020-00724-0002966")</f>
        <v>FOIA-FWS-2020-00724-0002966</v>
      </c>
      <c r="B2967" s="3" t="s">
        <v>4675</v>
      </c>
      <c r="C2967" s="3" t="s">
        <v>234</v>
      </c>
      <c r="D2967" s="3" t="s">
        <v>160</v>
      </c>
      <c r="E2967" s="3" t="s">
        <v>4678</v>
      </c>
      <c r="F2967" s="4">
        <v>43803.73541666667</v>
      </c>
      <c r="G2967" s="3"/>
      <c r="H2967" s="3"/>
      <c r="I2967" s="3" t="s">
        <v>7043</v>
      </c>
      <c r="J2967" s="3"/>
      <c r="K2967" s="3"/>
      <c r="L2967" s="5" t="str">
        <f>HYPERLINK("NATIVE_FILES\FOIA-FWS-2020-00724-0002966.prj","FOIA-FWS-2020-00724-0002966.prj")</f>
        <v>FOIA-FWS-2020-00724-0002966.prj</v>
      </c>
    </row>
    <row r="2968" spans="1:12" ht="28.8" x14ac:dyDescent="0.55000000000000004">
      <c r="A2968" s="9" t="str">
        <f>HYPERLINK("PDF\FOIA-FWS-2020-00724-0002967.pdf","FOIA-FWS-2020-00724-0002967")</f>
        <v>FOIA-FWS-2020-00724-0002967</v>
      </c>
      <c r="B2968" s="3" t="s">
        <v>4675</v>
      </c>
      <c r="C2968" s="3" t="s">
        <v>234</v>
      </c>
      <c r="D2968" s="3" t="s">
        <v>160</v>
      </c>
      <c r="E2968" s="3" t="s">
        <v>4679</v>
      </c>
      <c r="F2968" s="4">
        <v>43803.73541666667</v>
      </c>
      <c r="G2968" s="3"/>
      <c r="H2968" s="3"/>
      <c r="I2968" s="3" t="s">
        <v>7043</v>
      </c>
      <c r="J2968" s="3"/>
      <c r="K2968" s="3"/>
      <c r="L2968" s="5" t="str">
        <f>HYPERLINK("NATIVE_FILES\FOIA-FWS-2020-00724-0002967.sbn","FOIA-FWS-2020-00724-0002967.sbn")</f>
        <v>FOIA-FWS-2020-00724-0002967.sbn</v>
      </c>
    </row>
    <row r="2969" spans="1:12" ht="28.8" x14ac:dyDescent="0.55000000000000004">
      <c r="A2969" s="9" t="str">
        <f>HYPERLINK("PDF\FOIA-FWS-2020-00724-0002968.pdf","FOIA-FWS-2020-00724-0002968")</f>
        <v>FOIA-FWS-2020-00724-0002968</v>
      </c>
      <c r="B2969" s="3" t="s">
        <v>4675</v>
      </c>
      <c r="C2969" s="3" t="s">
        <v>234</v>
      </c>
      <c r="D2969" s="3" t="s">
        <v>160</v>
      </c>
      <c r="E2969" s="3" t="s">
        <v>4680</v>
      </c>
      <c r="F2969" s="4">
        <v>43803.73541666667</v>
      </c>
      <c r="G2969" s="3"/>
      <c r="H2969" s="3"/>
      <c r="I2969" s="3" t="s">
        <v>7043</v>
      </c>
      <c r="J2969" s="3"/>
      <c r="K2969" s="3"/>
      <c r="L2969" s="5" t="str">
        <f>HYPERLINK("NATIVE_FILES\FOIA-FWS-2020-00724-0002968.sbx","FOIA-FWS-2020-00724-0002968.sbx")</f>
        <v>FOIA-FWS-2020-00724-0002968.sbx</v>
      </c>
    </row>
    <row r="2970" spans="1:12" ht="28.8" x14ac:dyDescent="0.55000000000000004">
      <c r="A2970" s="9" t="str">
        <f>HYPERLINK("PDF\FOIA-FWS-2020-00724-0002969.pdf","FOIA-FWS-2020-00724-0002969")</f>
        <v>FOIA-FWS-2020-00724-0002969</v>
      </c>
      <c r="B2970" s="3" t="s">
        <v>4675</v>
      </c>
      <c r="C2970" s="3" t="s">
        <v>234</v>
      </c>
      <c r="D2970" s="3" t="s">
        <v>160</v>
      </c>
      <c r="E2970" s="3" t="s">
        <v>4681</v>
      </c>
      <c r="F2970" s="4">
        <v>43803.73541666667</v>
      </c>
      <c r="G2970" s="3"/>
      <c r="H2970" s="3"/>
      <c r="I2970" s="3" t="s">
        <v>7043</v>
      </c>
      <c r="J2970" s="3"/>
      <c r="K2970" s="3"/>
      <c r="L2970" s="5" t="str">
        <f>HYPERLINK("NATIVE_FILES\FOIA-FWS-2020-00724-0002969.shp","FOIA-FWS-2020-00724-0002969.shp")</f>
        <v>FOIA-FWS-2020-00724-0002969.shp</v>
      </c>
    </row>
    <row r="2971" spans="1:12" ht="28.8" x14ac:dyDescent="0.55000000000000004">
      <c r="A2971" s="9" t="str">
        <f>HYPERLINK("PDF\FOIA-FWS-2020-00724-0002970.pdf","FOIA-FWS-2020-00724-0002970")</f>
        <v>FOIA-FWS-2020-00724-0002970</v>
      </c>
      <c r="B2971" s="3" t="s">
        <v>4675</v>
      </c>
      <c r="C2971" s="3" t="s">
        <v>234</v>
      </c>
      <c r="D2971" s="3" t="s">
        <v>160</v>
      </c>
      <c r="E2971" s="3" t="s">
        <v>4682</v>
      </c>
      <c r="F2971" s="4">
        <v>43803.73541666667</v>
      </c>
      <c r="G2971" s="3"/>
      <c r="H2971" s="3"/>
      <c r="I2971" s="3" t="s">
        <v>7043</v>
      </c>
      <c r="J2971" s="3"/>
      <c r="K2971" s="3"/>
      <c r="L2971" s="5" t="str">
        <f>HYPERLINK("NATIVE_FILES\FOIA-FWS-2020-00724-0002970.xml","FOIA-FWS-2020-00724-0002970.xml")</f>
        <v>FOIA-FWS-2020-00724-0002970.xml</v>
      </c>
    </row>
    <row r="2972" spans="1:12" ht="28.8" x14ac:dyDescent="0.55000000000000004">
      <c r="A2972" s="9" t="str">
        <f>HYPERLINK("PDF\FOIA-FWS-2020-00724-0002971.pdf","FOIA-FWS-2020-00724-0002971")</f>
        <v>FOIA-FWS-2020-00724-0002971</v>
      </c>
      <c r="B2972" s="3" t="s">
        <v>4675</v>
      </c>
      <c r="C2972" s="3" t="s">
        <v>234</v>
      </c>
      <c r="D2972" s="3" t="s">
        <v>160</v>
      </c>
      <c r="E2972" s="3" t="s">
        <v>4683</v>
      </c>
      <c r="F2972" s="4">
        <v>43803.73541666667</v>
      </c>
      <c r="G2972" s="3"/>
      <c r="H2972" s="3"/>
      <c r="I2972" s="3" t="s">
        <v>7043</v>
      </c>
      <c r="J2972" s="3"/>
      <c r="K2972" s="3"/>
      <c r="L2972" s="5" t="str">
        <f>HYPERLINK("NATIVE_FILES\FOIA-FWS-2020-00724-0002971.shx","FOIA-FWS-2020-00724-0002971.shx")</f>
        <v>FOIA-FWS-2020-00724-0002971.shx</v>
      </c>
    </row>
    <row r="2973" spans="1:12" ht="28.8" x14ac:dyDescent="0.55000000000000004">
      <c r="A2973" s="9" t="str">
        <f>HYPERLINK("PDF\FOIA-FWS-2020-00724-0002972.pdf","FOIA-FWS-2020-00724-0002972")</f>
        <v>FOIA-FWS-2020-00724-0002972</v>
      </c>
      <c r="B2973" s="3" t="s">
        <v>4675</v>
      </c>
      <c r="C2973" s="3" t="s">
        <v>234</v>
      </c>
      <c r="D2973" s="3" t="s">
        <v>160</v>
      </c>
      <c r="E2973" s="3" t="s">
        <v>4684</v>
      </c>
      <c r="F2973" s="4">
        <v>43803.73541666667</v>
      </c>
      <c r="G2973" s="3"/>
      <c r="H2973" s="3"/>
      <c r="I2973" s="3" t="s">
        <v>7043</v>
      </c>
      <c r="J2973" s="3"/>
      <c r="K2973" s="3"/>
      <c r="L2973" s="5" t="str">
        <f>HYPERLINK("NATIVE_FILES\FOIA-FWS-2020-00724-0002972.dbf","FOIA-FWS-2020-00724-0002972.dbf")</f>
        <v>FOIA-FWS-2020-00724-0002972.dbf</v>
      </c>
    </row>
    <row r="2974" spans="1:12" ht="28.8" x14ac:dyDescent="0.55000000000000004">
      <c r="A2974" s="9" t="str">
        <f>HYPERLINK("PDF\FOIA-FWS-2020-00724-0002973.pdf","FOIA-FWS-2020-00724-0002973")</f>
        <v>FOIA-FWS-2020-00724-0002973</v>
      </c>
      <c r="B2974" s="3" t="s">
        <v>4675</v>
      </c>
      <c r="C2974" s="3" t="s">
        <v>234</v>
      </c>
      <c r="D2974" s="3" t="s">
        <v>160</v>
      </c>
      <c r="E2974" s="3" t="s">
        <v>4685</v>
      </c>
      <c r="F2974" s="4">
        <v>43803.73541666667</v>
      </c>
      <c r="G2974" s="3"/>
      <c r="H2974" s="3"/>
      <c r="I2974" s="3" t="s">
        <v>7043</v>
      </c>
      <c r="J2974" s="3"/>
      <c r="K2974" s="3"/>
      <c r="L2974" s="5" t="str">
        <f>HYPERLINK("NATIVE_FILES\FOIA-FWS-2020-00724-0002973.prj","FOIA-FWS-2020-00724-0002973.prj")</f>
        <v>FOIA-FWS-2020-00724-0002973.prj</v>
      </c>
    </row>
    <row r="2975" spans="1:12" ht="28.8" x14ac:dyDescent="0.55000000000000004">
      <c r="A2975" s="9" t="str">
        <f>HYPERLINK("PDF\FOIA-FWS-2020-00724-0002974.pdf","FOIA-FWS-2020-00724-0002974")</f>
        <v>FOIA-FWS-2020-00724-0002974</v>
      </c>
      <c r="B2975" s="3" t="s">
        <v>4675</v>
      </c>
      <c r="C2975" s="3" t="s">
        <v>234</v>
      </c>
      <c r="D2975" s="3" t="s">
        <v>160</v>
      </c>
      <c r="E2975" s="3" t="s">
        <v>4686</v>
      </c>
      <c r="F2975" s="4">
        <v>43803.73541666667</v>
      </c>
      <c r="G2975" s="3"/>
      <c r="H2975" s="3"/>
      <c r="I2975" s="3" t="s">
        <v>7043</v>
      </c>
      <c r="J2975" s="3"/>
      <c r="K2975" s="3"/>
      <c r="L2975" s="5" t="str">
        <f>HYPERLINK("NATIVE_FILES\FOIA-FWS-2020-00724-0002974.sbn","FOIA-FWS-2020-00724-0002974.sbn")</f>
        <v>FOIA-FWS-2020-00724-0002974.sbn</v>
      </c>
    </row>
    <row r="2976" spans="1:12" ht="28.8" x14ac:dyDescent="0.55000000000000004">
      <c r="A2976" s="9" t="str">
        <f>HYPERLINK("PDF\FOIA-FWS-2020-00724-0002975.pdf","FOIA-FWS-2020-00724-0002975")</f>
        <v>FOIA-FWS-2020-00724-0002975</v>
      </c>
      <c r="B2976" s="3" t="s">
        <v>4675</v>
      </c>
      <c r="C2976" s="3" t="s">
        <v>234</v>
      </c>
      <c r="D2976" s="3" t="s">
        <v>160</v>
      </c>
      <c r="E2976" s="3" t="s">
        <v>4687</v>
      </c>
      <c r="F2976" s="4">
        <v>43803.73541666667</v>
      </c>
      <c r="G2976" s="3"/>
      <c r="H2976" s="3"/>
      <c r="I2976" s="3" t="s">
        <v>7043</v>
      </c>
      <c r="J2976" s="3"/>
      <c r="K2976" s="3"/>
      <c r="L2976" s="5" t="str">
        <f>HYPERLINK("NATIVE_FILES\FOIA-FWS-2020-00724-0002975.sbx","FOIA-FWS-2020-00724-0002975.sbx")</f>
        <v>FOIA-FWS-2020-00724-0002975.sbx</v>
      </c>
    </row>
    <row r="2977" spans="1:12" ht="28.8" x14ac:dyDescent="0.55000000000000004">
      <c r="A2977" s="9" t="str">
        <f>HYPERLINK("PDF\FOIA-FWS-2020-00724-0002976.pdf","FOIA-FWS-2020-00724-0002976")</f>
        <v>FOIA-FWS-2020-00724-0002976</v>
      </c>
      <c r="B2977" s="3" t="s">
        <v>4675</v>
      </c>
      <c r="C2977" s="3" t="s">
        <v>234</v>
      </c>
      <c r="D2977" s="3" t="s">
        <v>160</v>
      </c>
      <c r="E2977" s="3" t="s">
        <v>4688</v>
      </c>
      <c r="F2977" s="4">
        <v>43803.73541666667</v>
      </c>
      <c r="G2977" s="3"/>
      <c r="H2977" s="3"/>
      <c r="I2977" s="3" t="s">
        <v>7043</v>
      </c>
      <c r="J2977" s="3"/>
      <c r="K2977" s="3"/>
      <c r="L2977" s="5" t="str">
        <f>HYPERLINK("NATIVE_FILES\FOIA-FWS-2020-00724-0002976.shp","FOIA-FWS-2020-00724-0002976.shp")</f>
        <v>FOIA-FWS-2020-00724-0002976.shp</v>
      </c>
    </row>
    <row r="2978" spans="1:12" ht="28.8" x14ac:dyDescent="0.55000000000000004">
      <c r="A2978" s="9" t="str">
        <f>HYPERLINK("PDF\FOIA-FWS-2020-00724-0002977.pdf","FOIA-FWS-2020-00724-0002977")</f>
        <v>FOIA-FWS-2020-00724-0002977</v>
      </c>
      <c r="B2978" s="3" t="s">
        <v>4675</v>
      </c>
      <c r="C2978" s="3" t="s">
        <v>234</v>
      </c>
      <c r="D2978" s="3" t="s">
        <v>160</v>
      </c>
      <c r="E2978" s="3" t="s">
        <v>4689</v>
      </c>
      <c r="F2978" s="4">
        <v>43803.73541666667</v>
      </c>
      <c r="G2978" s="3"/>
      <c r="H2978" s="3"/>
      <c r="I2978" s="3" t="s">
        <v>7043</v>
      </c>
      <c r="J2978" s="3"/>
      <c r="K2978" s="3"/>
      <c r="L2978" s="5" t="str">
        <f>HYPERLINK("NATIVE_FILES\FOIA-FWS-2020-00724-0002977.xml","FOIA-FWS-2020-00724-0002977.xml")</f>
        <v>FOIA-FWS-2020-00724-0002977.xml</v>
      </c>
    </row>
    <row r="2979" spans="1:12" ht="28.8" x14ac:dyDescent="0.55000000000000004">
      <c r="A2979" s="9" t="str">
        <f>HYPERLINK("PDF\FOIA-FWS-2020-00724-0002978.pdf","FOIA-FWS-2020-00724-0002978")</f>
        <v>FOIA-FWS-2020-00724-0002978</v>
      </c>
      <c r="B2979" s="3" t="s">
        <v>4675</v>
      </c>
      <c r="C2979" s="3" t="s">
        <v>234</v>
      </c>
      <c r="D2979" s="3" t="s">
        <v>160</v>
      </c>
      <c r="E2979" s="3" t="s">
        <v>4690</v>
      </c>
      <c r="F2979" s="4">
        <v>43803.73541666667</v>
      </c>
      <c r="G2979" s="3"/>
      <c r="H2979" s="3"/>
      <c r="I2979" s="3" t="s">
        <v>7043</v>
      </c>
      <c r="J2979" s="3"/>
      <c r="K2979" s="3"/>
      <c r="L2979" s="5" t="str">
        <f>HYPERLINK("NATIVE_FILES\FOIA-FWS-2020-00724-0002978.shx","FOIA-FWS-2020-00724-0002978.shx")</f>
        <v>FOIA-FWS-2020-00724-0002978.shx</v>
      </c>
    </row>
    <row r="2980" spans="1:12" ht="28.8" x14ac:dyDescent="0.55000000000000004">
      <c r="A2980" s="9" t="str">
        <f>HYPERLINK("PDF\FOIA-FWS-2020-00724-0002979.pdf","FOIA-FWS-2020-00724-0002979")</f>
        <v>FOIA-FWS-2020-00724-0002979</v>
      </c>
      <c r="B2980" s="3" t="s">
        <v>4675</v>
      </c>
      <c r="C2980" s="3" t="s">
        <v>234</v>
      </c>
      <c r="D2980" s="3" t="s">
        <v>160</v>
      </c>
      <c r="E2980" s="3" t="s">
        <v>4691</v>
      </c>
      <c r="F2980" s="4">
        <v>43803.73541666667</v>
      </c>
      <c r="G2980" s="3"/>
      <c r="H2980" s="3"/>
      <c r="I2980" s="3" t="s">
        <v>7043</v>
      </c>
      <c r="J2980" s="3"/>
      <c r="K2980" s="3"/>
      <c r="L2980" s="5" t="str">
        <f>HYPERLINK("NATIVE_FILES\FOIA-FWS-2020-00724-0002979.dbf","FOIA-FWS-2020-00724-0002979.dbf")</f>
        <v>FOIA-FWS-2020-00724-0002979.dbf</v>
      </c>
    </row>
    <row r="2981" spans="1:12" ht="28.8" x14ac:dyDescent="0.55000000000000004">
      <c r="A2981" s="9" t="str">
        <f>HYPERLINK("PDF\FOIA-FWS-2020-00724-0002980.pdf","FOIA-FWS-2020-00724-0002980")</f>
        <v>FOIA-FWS-2020-00724-0002980</v>
      </c>
      <c r="B2981" s="3" t="s">
        <v>4675</v>
      </c>
      <c r="C2981" s="3" t="s">
        <v>234</v>
      </c>
      <c r="D2981" s="3" t="s">
        <v>160</v>
      </c>
      <c r="E2981" s="3" t="s">
        <v>4692</v>
      </c>
      <c r="F2981" s="4">
        <v>43803.73541666667</v>
      </c>
      <c r="G2981" s="3"/>
      <c r="H2981" s="3"/>
      <c r="I2981" s="3" t="s">
        <v>7043</v>
      </c>
      <c r="J2981" s="3"/>
      <c r="K2981" s="3"/>
      <c r="L2981" s="5" t="str">
        <f>HYPERLINK("NATIVE_FILES\FOIA-FWS-2020-00724-0002980.prj","FOIA-FWS-2020-00724-0002980.prj")</f>
        <v>FOIA-FWS-2020-00724-0002980.prj</v>
      </c>
    </row>
    <row r="2982" spans="1:12" ht="28.8" x14ac:dyDescent="0.55000000000000004">
      <c r="A2982" s="9" t="str">
        <f>HYPERLINK("PDF\FOIA-FWS-2020-00724-0002981.pdf","FOIA-FWS-2020-00724-0002981")</f>
        <v>FOIA-FWS-2020-00724-0002981</v>
      </c>
      <c r="B2982" s="3" t="s">
        <v>4675</v>
      </c>
      <c r="C2982" s="3" t="s">
        <v>234</v>
      </c>
      <c r="D2982" s="3" t="s">
        <v>160</v>
      </c>
      <c r="E2982" s="3" t="s">
        <v>4693</v>
      </c>
      <c r="F2982" s="4">
        <v>43803.73541666667</v>
      </c>
      <c r="G2982" s="3"/>
      <c r="H2982" s="3"/>
      <c r="I2982" s="3" t="s">
        <v>7043</v>
      </c>
      <c r="J2982" s="3"/>
      <c r="K2982" s="3"/>
      <c r="L2982" s="5" t="str">
        <f>HYPERLINK("NATIVE_FILES\FOIA-FWS-2020-00724-0002981.sbn","FOIA-FWS-2020-00724-0002981.sbn")</f>
        <v>FOIA-FWS-2020-00724-0002981.sbn</v>
      </c>
    </row>
    <row r="2983" spans="1:12" ht="28.8" x14ac:dyDescent="0.55000000000000004">
      <c r="A2983" s="9" t="str">
        <f>HYPERLINK("PDF\FOIA-FWS-2020-00724-0002982.pdf","FOIA-FWS-2020-00724-0002982")</f>
        <v>FOIA-FWS-2020-00724-0002982</v>
      </c>
      <c r="B2983" s="3" t="s">
        <v>4675</v>
      </c>
      <c r="C2983" s="3" t="s">
        <v>234</v>
      </c>
      <c r="D2983" s="3" t="s">
        <v>160</v>
      </c>
      <c r="E2983" s="3" t="s">
        <v>4694</v>
      </c>
      <c r="F2983" s="4">
        <v>43803.73541666667</v>
      </c>
      <c r="G2983" s="3"/>
      <c r="H2983" s="3"/>
      <c r="I2983" s="3" t="s">
        <v>7043</v>
      </c>
      <c r="J2983" s="3"/>
      <c r="K2983" s="3"/>
      <c r="L2983" s="5" t="str">
        <f>HYPERLINK("NATIVE_FILES\FOIA-FWS-2020-00724-0002982.sbx","FOIA-FWS-2020-00724-0002982.sbx")</f>
        <v>FOIA-FWS-2020-00724-0002982.sbx</v>
      </c>
    </row>
    <row r="2984" spans="1:12" ht="28.8" x14ac:dyDescent="0.55000000000000004">
      <c r="A2984" s="9" t="str">
        <f>HYPERLINK("PDF\FOIA-FWS-2020-00724-0002983.pdf","FOIA-FWS-2020-00724-0002983")</f>
        <v>FOIA-FWS-2020-00724-0002983</v>
      </c>
      <c r="B2984" s="3" t="s">
        <v>4675</v>
      </c>
      <c r="C2984" s="3" t="s">
        <v>234</v>
      </c>
      <c r="D2984" s="3" t="s">
        <v>160</v>
      </c>
      <c r="E2984" s="3" t="s">
        <v>4695</v>
      </c>
      <c r="F2984" s="4">
        <v>43803.73541666667</v>
      </c>
      <c r="G2984" s="3"/>
      <c r="H2984" s="3"/>
      <c r="I2984" s="3" t="s">
        <v>7043</v>
      </c>
      <c r="J2984" s="3"/>
      <c r="K2984" s="3"/>
      <c r="L2984" s="5" t="str">
        <f>HYPERLINK("NATIVE_FILES\FOIA-FWS-2020-00724-0002983.shp","FOIA-FWS-2020-00724-0002983.shp")</f>
        <v>FOIA-FWS-2020-00724-0002983.shp</v>
      </c>
    </row>
    <row r="2985" spans="1:12" ht="28.8" x14ac:dyDescent="0.55000000000000004">
      <c r="A2985" s="9" t="str">
        <f>HYPERLINK("PDF\FOIA-FWS-2020-00724-0002984.pdf","FOIA-FWS-2020-00724-0002984")</f>
        <v>FOIA-FWS-2020-00724-0002984</v>
      </c>
      <c r="B2985" s="3" t="s">
        <v>4675</v>
      </c>
      <c r="C2985" s="3" t="s">
        <v>234</v>
      </c>
      <c r="D2985" s="3" t="s">
        <v>160</v>
      </c>
      <c r="E2985" s="3" t="s">
        <v>4696</v>
      </c>
      <c r="F2985" s="4">
        <v>43803.73541666667</v>
      </c>
      <c r="G2985" s="3"/>
      <c r="H2985" s="3"/>
      <c r="I2985" s="3" t="s">
        <v>7043</v>
      </c>
      <c r="J2985" s="3"/>
      <c r="K2985" s="3"/>
      <c r="L2985" s="5" t="str">
        <f>HYPERLINK("NATIVE_FILES\FOIA-FWS-2020-00724-0002984.xml","FOIA-FWS-2020-00724-0002984.xml")</f>
        <v>FOIA-FWS-2020-00724-0002984.xml</v>
      </c>
    </row>
    <row r="2986" spans="1:12" ht="28.8" x14ac:dyDescent="0.55000000000000004">
      <c r="A2986" s="9" t="str">
        <f>HYPERLINK("PDF\FOIA-FWS-2020-00724-0002985.pdf","FOIA-FWS-2020-00724-0002985")</f>
        <v>FOIA-FWS-2020-00724-0002985</v>
      </c>
      <c r="B2986" s="3" t="s">
        <v>4675</v>
      </c>
      <c r="C2986" s="3" t="s">
        <v>234</v>
      </c>
      <c r="D2986" s="3" t="s">
        <v>160</v>
      </c>
      <c r="E2986" s="3" t="s">
        <v>4697</v>
      </c>
      <c r="F2986" s="4">
        <v>43803.73541666667</v>
      </c>
      <c r="G2986" s="3"/>
      <c r="H2986" s="3"/>
      <c r="I2986" s="3" t="s">
        <v>7043</v>
      </c>
      <c r="J2986" s="3"/>
      <c r="K2986" s="3"/>
      <c r="L2986" s="5" t="str">
        <f>HYPERLINK("NATIVE_FILES\FOIA-FWS-2020-00724-0002985.shx","FOIA-FWS-2020-00724-0002985.shx")</f>
        <v>FOIA-FWS-2020-00724-0002985.shx</v>
      </c>
    </row>
    <row r="2987" spans="1:12" ht="28.8" x14ac:dyDescent="0.55000000000000004">
      <c r="A2987" s="9" t="str">
        <f>HYPERLINK("PDF\FOIA-FWS-2020-00724-0002986.pdf","FOIA-FWS-2020-00724-0002986")</f>
        <v>FOIA-FWS-2020-00724-0002986</v>
      </c>
      <c r="B2987" s="3" t="s">
        <v>4698</v>
      </c>
      <c r="C2987" s="3" t="s">
        <v>3</v>
      </c>
      <c r="D2987" s="3" t="s">
        <v>33</v>
      </c>
      <c r="E2987" s="3" t="s">
        <v>4660</v>
      </c>
      <c r="F2987" s="4">
        <v>43803.795138888891</v>
      </c>
      <c r="G2987" s="3" t="s">
        <v>1489</v>
      </c>
      <c r="H2987" s="3" t="s">
        <v>1119</v>
      </c>
      <c r="I2987" s="3" t="s">
        <v>7043</v>
      </c>
      <c r="J2987" s="3"/>
      <c r="K2987" s="3"/>
      <c r="L2987" s="5"/>
    </row>
    <row r="2988" spans="1:12" ht="28.8" x14ac:dyDescent="0.55000000000000004">
      <c r="A2988" s="9" t="str">
        <f>HYPERLINK("PDF\FOIA-FWS-2020-00724-0002987.pdf","FOIA-FWS-2020-00724-0002987")</f>
        <v>FOIA-FWS-2020-00724-0002987</v>
      </c>
      <c r="B2988" s="3" t="s">
        <v>4698</v>
      </c>
      <c r="C2988" s="3" t="s">
        <v>234</v>
      </c>
      <c r="D2988" s="3" t="s">
        <v>33</v>
      </c>
      <c r="E2988" s="3" t="s">
        <v>4699</v>
      </c>
      <c r="F2988" s="4">
        <v>43803.795138888891</v>
      </c>
      <c r="G2988" s="3"/>
      <c r="H2988" s="3"/>
      <c r="I2988" s="3" t="s">
        <v>7043</v>
      </c>
      <c r="J2988" s="3"/>
      <c r="K2988" s="3"/>
      <c r="L2988" s="5"/>
    </row>
    <row r="2989" spans="1:12" ht="28.8" x14ac:dyDescent="0.55000000000000004">
      <c r="A2989" s="9" t="str">
        <f>HYPERLINK("PDF\FOIA-FWS-2020-00724-0002988.pdf","FOIA-FWS-2020-00724-0002988")</f>
        <v>FOIA-FWS-2020-00724-0002988</v>
      </c>
      <c r="B2989" s="3" t="s">
        <v>4700</v>
      </c>
      <c r="C2989" s="3" t="s">
        <v>3</v>
      </c>
      <c r="D2989" s="3" t="s">
        <v>33</v>
      </c>
      <c r="E2989" s="3" t="s">
        <v>4660</v>
      </c>
      <c r="F2989" s="4">
        <v>43803.863194444442</v>
      </c>
      <c r="G2989" s="3" t="s">
        <v>1489</v>
      </c>
      <c r="H2989" s="3" t="s">
        <v>1119</v>
      </c>
      <c r="I2989" s="3" t="s">
        <v>7043</v>
      </c>
      <c r="J2989" s="3"/>
      <c r="K2989" s="3"/>
      <c r="L2989" s="5"/>
    </row>
    <row r="2990" spans="1:12" ht="28.8" x14ac:dyDescent="0.55000000000000004">
      <c r="A2990" s="9" t="str">
        <f>HYPERLINK("PDF\FOIA-FWS-2020-00724-0002989.pdf","FOIA-FWS-2020-00724-0002989")</f>
        <v>FOIA-FWS-2020-00724-0002989</v>
      </c>
      <c r="B2990" s="3" t="s">
        <v>4700</v>
      </c>
      <c r="C2990" s="3" t="s">
        <v>234</v>
      </c>
      <c r="D2990" s="3" t="s">
        <v>33</v>
      </c>
      <c r="E2990" s="3" t="s">
        <v>4701</v>
      </c>
      <c r="F2990" s="4">
        <v>43803.863194444442</v>
      </c>
      <c r="G2990" s="3"/>
      <c r="H2990" s="3"/>
      <c r="I2990" s="3" t="s">
        <v>7043</v>
      </c>
      <c r="J2990" s="3"/>
      <c r="K2990" s="3"/>
      <c r="L2990" s="5" t="str">
        <f>HYPERLINK("NATIVE_FILES\FOIA-FWS-2020-00724-0002989.xlsx","FOIA-FWS-2020-00724-0002989.xlsx")</f>
        <v>FOIA-FWS-2020-00724-0002989.xlsx</v>
      </c>
    </row>
    <row r="2991" spans="1:12" ht="28.8" x14ac:dyDescent="0.55000000000000004">
      <c r="A2991" s="9" t="str">
        <f>HYPERLINK("PDF\FOIA-FWS-2020-00724-0002990.pdf","FOIA-FWS-2020-00724-0002990")</f>
        <v>FOIA-FWS-2020-00724-0002990</v>
      </c>
      <c r="B2991" s="3" t="s">
        <v>4700</v>
      </c>
      <c r="C2991" s="3" t="s">
        <v>234</v>
      </c>
      <c r="D2991" s="3" t="s">
        <v>33</v>
      </c>
      <c r="E2991" s="3" t="s">
        <v>4702</v>
      </c>
      <c r="F2991" s="4">
        <v>43803.863194444442</v>
      </c>
      <c r="G2991" s="3"/>
      <c r="H2991" s="3"/>
      <c r="I2991" s="3" t="s">
        <v>7043</v>
      </c>
      <c r="J2991" s="3"/>
      <c r="K2991" s="3"/>
      <c r="L2991" s="5"/>
    </row>
    <row r="2992" spans="1:12" ht="28.8" x14ac:dyDescent="0.55000000000000004">
      <c r="A2992" s="9" t="str">
        <f>HYPERLINK("PDF\FOIA-FWS-2020-00724-0002991.pdf","FOIA-FWS-2020-00724-0002991")</f>
        <v>FOIA-FWS-2020-00724-0002991</v>
      </c>
      <c r="B2992" s="3" t="s">
        <v>4700</v>
      </c>
      <c r="C2992" s="3" t="s">
        <v>234</v>
      </c>
      <c r="D2992" s="3" t="s">
        <v>33</v>
      </c>
      <c r="E2992" s="3" t="s">
        <v>4703</v>
      </c>
      <c r="F2992" s="4">
        <v>43803.863194444442</v>
      </c>
      <c r="G2992" s="3"/>
      <c r="H2992" s="3"/>
      <c r="I2992" s="3" t="s">
        <v>7043</v>
      </c>
      <c r="J2992" s="3"/>
      <c r="K2992" s="3"/>
      <c r="L2992" s="5"/>
    </row>
    <row r="2993" spans="1:12" ht="28.8" x14ac:dyDescent="0.55000000000000004">
      <c r="A2993" s="9" t="str">
        <f>HYPERLINK("PDF\FOIA-FWS-2020-00724-0002992.pdf","FOIA-FWS-2020-00724-0002992")</f>
        <v>FOIA-FWS-2020-00724-0002992</v>
      </c>
      <c r="B2993" s="3" t="s">
        <v>4700</v>
      </c>
      <c r="C2993" s="3" t="s">
        <v>234</v>
      </c>
      <c r="D2993" s="3" t="s">
        <v>33</v>
      </c>
      <c r="E2993" s="3" t="s">
        <v>4704</v>
      </c>
      <c r="F2993" s="4">
        <v>43803.863194444442</v>
      </c>
      <c r="G2993" s="3"/>
      <c r="H2993" s="3"/>
      <c r="I2993" s="3" t="s">
        <v>7043</v>
      </c>
      <c r="J2993" s="3"/>
      <c r="K2993" s="3"/>
      <c r="L2993" s="5"/>
    </row>
    <row r="2994" spans="1:12" ht="28.8" x14ac:dyDescent="0.55000000000000004">
      <c r="A2994" s="9" t="str">
        <f>HYPERLINK("PDF\FOIA-FWS-2020-00724-0002993.pdf","FOIA-FWS-2020-00724-0002993")</f>
        <v>FOIA-FWS-2020-00724-0002993</v>
      </c>
      <c r="B2994" s="3" t="s">
        <v>4700</v>
      </c>
      <c r="C2994" s="3" t="s">
        <v>234</v>
      </c>
      <c r="D2994" s="3" t="s">
        <v>33</v>
      </c>
      <c r="E2994" s="3" t="s">
        <v>4705</v>
      </c>
      <c r="F2994" s="4">
        <v>43803.863194444442</v>
      </c>
      <c r="G2994" s="3"/>
      <c r="H2994" s="3"/>
      <c r="I2994" s="3" t="s">
        <v>7043</v>
      </c>
      <c r="J2994" s="3"/>
      <c r="K2994" s="3"/>
      <c r="L2994" s="5"/>
    </row>
    <row r="2995" spans="1:12" ht="28.8" x14ac:dyDescent="0.55000000000000004">
      <c r="A2995" s="9" t="str">
        <f>HYPERLINK("PDF\FOIA-FWS-2020-00724-0002994.pdf","FOIA-FWS-2020-00724-0002994")</f>
        <v>FOIA-FWS-2020-00724-0002994</v>
      </c>
      <c r="B2995" s="3" t="s">
        <v>4700</v>
      </c>
      <c r="C2995" s="3" t="s">
        <v>234</v>
      </c>
      <c r="D2995" s="3" t="s">
        <v>33</v>
      </c>
      <c r="E2995" s="3" t="s">
        <v>4706</v>
      </c>
      <c r="F2995" s="4">
        <v>43803.863194444442</v>
      </c>
      <c r="G2995" s="3"/>
      <c r="H2995" s="3"/>
      <c r="I2995" s="3" t="s">
        <v>7043</v>
      </c>
      <c r="J2995" s="3"/>
      <c r="K2995" s="3"/>
      <c r="L2995" s="5" t="str">
        <f>HYPERLINK("NATIVE_FILES\FOIA-FWS-2020-00724-0002994.xlsx","FOIA-FWS-2020-00724-0002994.xlsx")</f>
        <v>FOIA-FWS-2020-00724-0002994.xlsx</v>
      </c>
    </row>
    <row r="2996" spans="1:12" ht="28.8" x14ac:dyDescent="0.55000000000000004">
      <c r="A2996" s="9" t="str">
        <f>HYPERLINK("PDF\FOIA-FWS-2020-00724-0002995.pdf","FOIA-FWS-2020-00724-0002995")</f>
        <v>FOIA-FWS-2020-00724-0002995</v>
      </c>
      <c r="B2996" s="3" t="s">
        <v>4707</v>
      </c>
      <c r="C2996" s="3" t="s">
        <v>3</v>
      </c>
      <c r="D2996" s="3" t="s">
        <v>38</v>
      </c>
      <c r="E2996" s="3" t="s">
        <v>4708</v>
      </c>
      <c r="F2996" s="4">
        <v>43804</v>
      </c>
      <c r="G2996" s="3"/>
      <c r="H2996" s="3"/>
      <c r="I2996" s="3" t="s">
        <v>7043</v>
      </c>
      <c r="J2996" s="3"/>
      <c r="K2996" s="3"/>
      <c r="L2996" s="5"/>
    </row>
    <row r="2997" spans="1:12" ht="28.8" x14ac:dyDescent="0.55000000000000004">
      <c r="A2997" s="9" t="str">
        <f>HYPERLINK("PDF\FOIA-FWS-2020-00724-0002996.pdf","FOIA-FWS-2020-00724-0002996")</f>
        <v>FOIA-FWS-2020-00724-0002996</v>
      </c>
      <c r="B2997" s="3" t="s">
        <v>4709</v>
      </c>
      <c r="C2997" s="3" t="s">
        <v>3</v>
      </c>
      <c r="D2997" s="3" t="s">
        <v>33</v>
      </c>
      <c r="E2997" s="3" t="s">
        <v>4660</v>
      </c>
      <c r="F2997" s="4">
        <v>43804.570833333331</v>
      </c>
      <c r="G2997" s="3" t="s">
        <v>1489</v>
      </c>
      <c r="H2997" s="3" t="s">
        <v>1119</v>
      </c>
      <c r="I2997" s="3" t="s">
        <v>7043</v>
      </c>
      <c r="J2997" s="3"/>
      <c r="K2997" s="3"/>
      <c r="L2997" s="5"/>
    </row>
    <row r="2998" spans="1:12" ht="28.8" x14ac:dyDescent="0.55000000000000004">
      <c r="A2998" s="9" t="str">
        <f>HYPERLINK("PDF\FOIA-FWS-2020-00724-0002997.pdf","FOIA-FWS-2020-00724-0002997")</f>
        <v>FOIA-FWS-2020-00724-0002997</v>
      </c>
      <c r="B2998" s="3" t="s">
        <v>4709</v>
      </c>
      <c r="C2998" s="3" t="s">
        <v>234</v>
      </c>
      <c r="D2998" s="3" t="s">
        <v>33</v>
      </c>
      <c r="E2998" s="3" t="s">
        <v>4653</v>
      </c>
      <c r="F2998" s="4">
        <v>43804.570833333331</v>
      </c>
      <c r="G2998" s="3"/>
      <c r="H2998" s="3"/>
      <c r="I2998" s="3" t="s">
        <v>7043</v>
      </c>
      <c r="J2998" s="3"/>
      <c r="K2998" s="3"/>
      <c r="L2998" s="5"/>
    </row>
    <row r="2999" spans="1:12" ht="28.8" x14ac:dyDescent="0.55000000000000004">
      <c r="A2999" s="9" t="str">
        <f>HYPERLINK("PDF\FOIA-FWS-2020-00724-0002998.pdf","FOIA-FWS-2020-00724-0002998")</f>
        <v>FOIA-FWS-2020-00724-0002998</v>
      </c>
      <c r="B2999" s="3" t="s">
        <v>4710</v>
      </c>
      <c r="C2999" s="3" t="s">
        <v>3</v>
      </c>
      <c r="D2999" s="3" t="s">
        <v>33</v>
      </c>
      <c r="E2999" s="3" t="s">
        <v>4711</v>
      </c>
      <c r="F2999" s="4">
        <v>43804.57708333333</v>
      </c>
      <c r="G2999" s="3" t="s">
        <v>872</v>
      </c>
      <c r="H2999" s="3" t="s">
        <v>2543</v>
      </c>
      <c r="I2999" s="3" t="s">
        <v>7043</v>
      </c>
      <c r="J2999" s="3"/>
      <c r="K2999" s="3"/>
      <c r="L2999" s="5"/>
    </row>
    <row r="3000" spans="1:12" ht="28.8" x14ac:dyDescent="0.55000000000000004">
      <c r="A3000" s="9" t="str">
        <f>HYPERLINK("PDF\FOIA-FWS-2020-00724-0002999.pdf","FOIA-FWS-2020-00724-0002999")</f>
        <v>FOIA-FWS-2020-00724-0002999</v>
      </c>
      <c r="B3000" s="3" t="s">
        <v>4712</v>
      </c>
      <c r="C3000" s="3" t="s">
        <v>3</v>
      </c>
      <c r="D3000" s="3" t="s">
        <v>33</v>
      </c>
      <c r="E3000" s="3" t="s">
        <v>4660</v>
      </c>
      <c r="F3000" s="4">
        <v>43804.700694444444</v>
      </c>
      <c r="G3000" s="3" t="s">
        <v>1489</v>
      </c>
      <c r="H3000" s="3" t="s">
        <v>1119</v>
      </c>
      <c r="I3000" s="3" t="s">
        <v>7043</v>
      </c>
      <c r="J3000" s="3"/>
      <c r="K3000" s="3"/>
      <c r="L3000" s="5"/>
    </row>
    <row r="3001" spans="1:12" ht="28.8" x14ac:dyDescent="0.55000000000000004">
      <c r="A3001" s="9" t="str">
        <f>HYPERLINK("PDF\FOIA-FWS-2020-00724-0003000.pdf","FOIA-FWS-2020-00724-0003000")</f>
        <v>FOIA-FWS-2020-00724-0003000</v>
      </c>
      <c r="B3001" s="3" t="s">
        <v>4712</v>
      </c>
      <c r="C3001" s="3" t="s">
        <v>234</v>
      </c>
      <c r="D3001" s="3" t="s">
        <v>33</v>
      </c>
      <c r="E3001" s="3" t="s">
        <v>4713</v>
      </c>
      <c r="F3001" s="4">
        <v>43804.700694444444</v>
      </c>
      <c r="G3001" s="3"/>
      <c r="H3001" s="3"/>
      <c r="I3001" s="3" t="s">
        <v>7043</v>
      </c>
      <c r="J3001" s="3"/>
      <c r="K3001" s="3"/>
      <c r="L3001" s="5"/>
    </row>
    <row r="3002" spans="1:12" ht="28.8" x14ac:dyDescent="0.55000000000000004">
      <c r="A3002" s="9" t="str">
        <f>HYPERLINK("PDF\FOIA-FWS-2020-00724-0003001.pdf","FOIA-FWS-2020-00724-0003001")</f>
        <v>FOIA-FWS-2020-00724-0003001</v>
      </c>
      <c r="B3002" s="3" t="s">
        <v>4712</v>
      </c>
      <c r="C3002" s="3" t="s">
        <v>234</v>
      </c>
      <c r="D3002" s="3" t="s">
        <v>33</v>
      </c>
      <c r="E3002" s="3" t="s">
        <v>4714</v>
      </c>
      <c r="F3002" s="4">
        <v>43804.700694444444</v>
      </c>
      <c r="G3002" s="3"/>
      <c r="H3002" s="3"/>
      <c r="I3002" s="3" t="s">
        <v>7043</v>
      </c>
      <c r="J3002" s="3"/>
      <c r="K3002" s="3"/>
      <c r="L3002" s="5"/>
    </row>
    <row r="3003" spans="1:12" ht="28.8" x14ac:dyDescent="0.55000000000000004">
      <c r="A3003" s="9" t="str">
        <f>HYPERLINK("PDF\FOIA-FWS-2020-00724-0003002.pdf","FOIA-FWS-2020-00724-0003002")</f>
        <v>FOIA-FWS-2020-00724-0003002</v>
      </c>
      <c r="B3003" s="3" t="s">
        <v>4712</v>
      </c>
      <c r="C3003" s="3" t="s">
        <v>234</v>
      </c>
      <c r="D3003" s="3" t="s">
        <v>33</v>
      </c>
      <c r="E3003" s="3" t="s">
        <v>4715</v>
      </c>
      <c r="F3003" s="4">
        <v>43804.700694444444</v>
      </c>
      <c r="G3003" s="3"/>
      <c r="H3003" s="3"/>
      <c r="I3003" s="3" t="s">
        <v>7043</v>
      </c>
      <c r="J3003" s="3"/>
      <c r="K3003" s="3"/>
      <c r="L3003" s="5"/>
    </row>
    <row r="3004" spans="1:12" ht="28.8" x14ac:dyDescent="0.55000000000000004">
      <c r="A3004" s="9" t="str">
        <f>HYPERLINK("PDF\FOIA-FWS-2020-00724-0003003.pdf","FOIA-FWS-2020-00724-0003003")</f>
        <v>FOIA-FWS-2020-00724-0003003</v>
      </c>
      <c r="B3004" s="3" t="s">
        <v>4712</v>
      </c>
      <c r="C3004" s="3" t="s">
        <v>234</v>
      </c>
      <c r="D3004" s="3" t="s">
        <v>33</v>
      </c>
      <c r="E3004" s="3" t="s">
        <v>4716</v>
      </c>
      <c r="F3004" s="4">
        <v>43804.700694444444</v>
      </c>
      <c r="G3004" s="3"/>
      <c r="H3004" s="3"/>
      <c r="I3004" s="3" t="s">
        <v>7043</v>
      </c>
      <c r="J3004" s="3"/>
      <c r="K3004" s="3"/>
      <c r="L3004" s="5"/>
    </row>
    <row r="3005" spans="1:12" ht="28.8" x14ac:dyDescent="0.55000000000000004">
      <c r="A3005" s="9" t="str">
        <f>HYPERLINK("PDF\FOIA-FWS-2020-00724-0003004.pdf","FOIA-FWS-2020-00724-0003004")</f>
        <v>FOIA-FWS-2020-00724-0003004</v>
      </c>
      <c r="B3005" s="3" t="s">
        <v>4712</v>
      </c>
      <c r="C3005" s="3" t="s">
        <v>234</v>
      </c>
      <c r="D3005" s="3" t="s">
        <v>33</v>
      </c>
      <c r="E3005" s="3" t="s">
        <v>4717</v>
      </c>
      <c r="F3005" s="4">
        <v>43804.700694444444</v>
      </c>
      <c r="G3005" s="3"/>
      <c r="H3005" s="3"/>
      <c r="I3005" s="3" t="s">
        <v>7043</v>
      </c>
      <c r="J3005" s="3"/>
      <c r="K3005" s="3"/>
      <c r="L3005" s="5"/>
    </row>
    <row r="3006" spans="1:12" ht="28.8" x14ac:dyDescent="0.55000000000000004">
      <c r="A3006" s="9" t="str">
        <f>HYPERLINK("PDF\FOIA-FWS-2020-00724-0003005.pdf","FOIA-FWS-2020-00724-0003005")</f>
        <v>FOIA-FWS-2020-00724-0003005</v>
      </c>
      <c r="B3006" s="3" t="s">
        <v>4712</v>
      </c>
      <c r="C3006" s="3" t="s">
        <v>234</v>
      </c>
      <c r="D3006" s="3" t="s">
        <v>33</v>
      </c>
      <c r="E3006" s="3" t="s">
        <v>4718</v>
      </c>
      <c r="F3006" s="4">
        <v>43804.700694444444</v>
      </c>
      <c r="G3006" s="3"/>
      <c r="H3006" s="3"/>
      <c r="I3006" s="3" t="s">
        <v>7043</v>
      </c>
      <c r="J3006" s="3"/>
      <c r="K3006" s="3"/>
      <c r="L3006" s="5"/>
    </row>
    <row r="3007" spans="1:12" ht="28.8" x14ac:dyDescent="0.55000000000000004">
      <c r="A3007" s="9" t="str">
        <f>HYPERLINK("PDF\FOIA-FWS-2020-00724-0003006.pdf","FOIA-FWS-2020-00724-0003006")</f>
        <v>FOIA-FWS-2020-00724-0003006</v>
      </c>
      <c r="B3007" s="3" t="s">
        <v>4712</v>
      </c>
      <c r="C3007" s="3" t="s">
        <v>234</v>
      </c>
      <c r="D3007" s="3" t="s">
        <v>33</v>
      </c>
      <c r="E3007" s="3" t="s">
        <v>4719</v>
      </c>
      <c r="F3007" s="4">
        <v>43804.700694444444</v>
      </c>
      <c r="G3007" s="3"/>
      <c r="H3007" s="3"/>
      <c r="I3007" s="3" t="s">
        <v>7043</v>
      </c>
      <c r="J3007" s="3"/>
      <c r="K3007" s="3"/>
      <c r="L3007" s="5"/>
    </row>
    <row r="3008" spans="1:12" ht="28.8" x14ac:dyDescent="0.55000000000000004">
      <c r="A3008" s="9" t="str">
        <f>HYPERLINK("PDF\FOIA-FWS-2020-00724-0003007.pdf","FOIA-FWS-2020-00724-0003007")</f>
        <v>FOIA-FWS-2020-00724-0003007</v>
      </c>
      <c r="B3008" s="3" t="s">
        <v>4712</v>
      </c>
      <c r="C3008" s="3" t="s">
        <v>234</v>
      </c>
      <c r="D3008" s="3" t="s">
        <v>33</v>
      </c>
      <c r="E3008" s="3" t="s">
        <v>4720</v>
      </c>
      <c r="F3008" s="4">
        <v>43804.700694444444</v>
      </c>
      <c r="G3008" s="3"/>
      <c r="H3008" s="3"/>
      <c r="I3008" s="3" t="s">
        <v>7043</v>
      </c>
      <c r="J3008" s="3"/>
      <c r="K3008" s="3"/>
      <c r="L3008" s="5"/>
    </row>
    <row r="3009" spans="1:12" ht="28.8" x14ac:dyDescent="0.55000000000000004">
      <c r="A3009" s="9" t="str">
        <f>HYPERLINK("PDF\FOIA-FWS-2020-00724-0003008.pdf","FOIA-FWS-2020-00724-0003008")</f>
        <v>FOIA-FWS-2020-00724-0003008</v>
      </c>
      <c r="B3009" s="3" t="s">
        <v>4712</v>
      </c>
      <c r="C3009" s="3" t="s">
        <v>234</v>
      </c>
      <c r="D3009" s="3" t="s">
        <v>33</v>
      </c>
      <c r="E3009" s="3" t="s">
        <v>4721</v>
      </c>
      <c r="F3009" s="4">
        <v>43804.700694444444</v>
      </c>
      <c r="G3009" s="3"/>
      <c r="H3009" s="3"/>
      <c r="I3009" s="3" t="s">
        <v>7043</v>
      </c>
      <c r="J3009" s="3"/>
      <c r="K3009" s="3"/>
      <c r="L3009" s="5"/>
    </row>
    <row r="3010" spans="1:12" ht="28.8" x14ac:dyDescent="0.55000000000000004">
      <c r="A3010" s="9" t="str">
        <f>HYPERLINK("PDF\FOIA-FWS-2020-00724-0003009.pdf","FOIA-FWS-2020-00724-0003009")</f>
        <v>FOIA-FWS-2020-00724-0003009</v>
      </c>
      <c r="B3010" s="3" t="s">
        <v>4722</v>
      </c>
      <c r="C3010" s="3" t="s">
        <v>3</v>
      </c>
      <c r="D3010" s="3" t="s">
        <v>33</v>
      </c>
      <c r="E3010" s="3" t="s">
        <v>4723</v>
      </c>
      <c r="F3010" s="4">
        <v>43804.745833333334</v>
      </c>
      <c r="G3010" s="3" t="s">
        <v>872</v>
      </c>
      <c r="H3010" s="3" t="s">
        <v>955</v>
      </c>
      <c r="I3010" s="3" t="s">
        <v>7043</v>
      </c>
      <c r="J3010" s="3"/>
      <c r="K3010" s="3"/>
      <c r="L3010" s="5"/>
    </row>
    <row r="3011" spans="1:12" ht="28.8" x14ac:dyDescent="0.55000000000000004">
      <c r="A3011" s="9" t="str">
        <f>HYPERLINK("PDF\FOIA-FWS-2020-00724-0003010.pdf","FOIA-FWS-2020-00724-0003010")</f>
        <v>FOIA-FWS-2020-00724-0003010</v>
      </c>
      <c r="B3011" s="3" t="s">
        <v>4724</v>
      </c>
      <c r="C3011" s="3" t="s">
        <v>3</v>
      </c>
      <c r="D3011" s="3" t="s">
        <v>33</v>
      </c>
      <c r="E3011" s="3" t="s">
        <v>4725</v>
      </c>
      <c r="F3011" s="4">
        <v>43805</v>
      </c>
      <c r="G3011" s="3"/>
      <c r="H3011" s="3"/>
      <c r="I3011" s="3" t="s">
        <v>7043</v>
      </c>
      <c r="J3011" s="3"/>
      <c r="K3011" s="3"/>
      <c r="L3011" s="5"/>
    </row>
    <row r="3012" spans="1:12" ht="28.8" x14ac:dyDescent="0.55000000000000004">
      <c r="A3012" s="9" t="str">
        <f>HYPERLINK("PDF\FOIA-FWS-2020-00724-0003011.pdf","FOIA-FWS-2020-00724-0003011")</f>
        <v>FOIA-FWS-2020-00724-0003011</v>
      </c>
      <c r="B3012" s="3" t="s">
        <v>4726</v>
      </c>
      <c r="C3012" s="3" t="s">
        <v>3</v>
      </c>
      <c r="D3012" s="3" t="s">
        <v>38</v>
      </c>
      <c r="E3012" s="3" t="s">
        <v>4727</v>
      </c>
      <c r="F3012" s="4">
        <v>43805</v>
      </c>
      <c r="G3012" s="3"/>
      <c r="H3012" s="3"/>
      <c r="I3012" s="3" t="s">
        <v>7043</v>
      </c>
      <c r="J3012" s="3"/>
      <c r="K3012" s="3"/>
      <c r="L3012" s="5"/>
    </row>
    <row r="3013" spans="1:12" ht="28.8" x14ac:dyDescent="0.55000000000000004">
      <c r="A3013" s="9" t="str">
        <f>HYPERLINK("PDF\FOIA-FWS-2020-00724-0003012.pdf","FOIA-FWS-2020-00724-0003012")</f>
        <v>FOIA-FWS-2020-00724-0003012</v>
      </c>
      <c r="B3013" s="3" t="s">
        <v>4728</v>
      </c>
      <c r="C3013" s="3" t="s">
        <v>3</v>
      </c>
      <c r="D3013" s="3" t="s">
        <v>38</v>
      </c>
      <c r="E3013" s="3" t="s">
        <v>4729</v>
      </c>
      <c r="F3013" s="4">
        <v>43805</v>
      </c>
      <c r="G3013" s="3"/>
      <c r="H3013" s="3"/>
      <c r="I3013" s="3" t="s">
        <v>7043</v>
      </c>
      <c r="J3013" s="3"/>
      <c r="K3013" s="3"/>
      <c r="L3013" s="5"/>
    </row>
    <row r="3014" spans="1:12" ht="28.8" x14ac:dyDescent="0.55000000000000004">
      <c r="A3014" s="9" t="str">
        <f>HYPERLINK("PDF\FOIA-FWS-2020-00724-0003013.pdf","FOIA-FWS-2020-00724-0003013")</f>
        <v>FOIA-FWS-2020-00724-0003013</v>
      </c>
      <c r="B3014" s="3" t="s">
        <v>4730</v>
      </c>
      <c r="C3014" s="3" t="s">
        <v>3</v>
      </c>
      <c r="D3014" s="3" t="s">
        <v>33</v>
      </c>
      <c r="E3014" s="3" t="s">
        <v>4731</v>
      </c>
      <c r="F3014" s="4">
        <v>43805</v>
      </c>
      <c r="G3014" s="3"/>
      <c r="H3014" s="3"/>
      <c r="I3014" s="3" t="s">
        <v>7043</v>
      </c>
      <c r="J3014" s="3"/>
      <c r="K3014" s="3"/>
      <c r="L3014" s="5"/>
    </row>
    <row r="3015" spans="1:12" ht="28.8" x14ac:dyDescent="0.55000000000000004">
      <c r="A3015" s="9" t="str">
        <f>HYPERLINK("PDF\FOIA-FWS-2020-00724-0003014.pdf","FOIA-FWS-2020-00724-0003014")</f>
        <v>FOIA-FWS-2020-00724-0003014</v>
      </c>
      <c r="B3015" s="3" t="s">
        <v>4732</v>
      </c>
      <c r="C3015" s="3" t="s">
        <v>3</v>
      </c>
      <c r="D3015" s="3" t="s">
        <v>33</v>
      </c>
      <c r="E3015" s="3" t="s">
        <v>4733</v>
      </c>
      <c r="F3015" s="4">
        <v>43805</v>
      </c>
      <c r="G3015" s="3"/>
      <c r="H3015" s="3"/>
      <c r="I3015" s="3" t="s">
        <v>7043</v>
      </c>
      <c r="J3015" s="3"/>
      <c r="K3015" s="3"/>
      <c r="L3015" s="5"/>
    </row>
    <row r="3016" spans="1:12" ht="28.8" x14ac:dyDescent="0.55000000000000004">
      <c r="A3016" s="9" t="str">
        <f>HYPERLINK("PDF\FOIA-FWS-2020-00724-0003015.pdf","FOIA-FWS-2020-00724-0003015")</f>
        <v>FOIA-FWS-2020-00724-0003015</v>
      </c>
      <c r="B3016" s="3" t="s">
        <v>4734</v>
      </c>
      <c r="C3016" s="3" t="s">
        <v>3</v>
      </c>
      <c r="D3016" s="3" t="s">
        <v>33</v>
      </c>
      <c r="E3016" s="3" t="s">
        <v>4735</v>
      </c>
      <c r="F3016" s="4">
        <v>43805.48541666667</v>
      </c>
      <c r="G3016" s="3" t="s">
        <v>945</v>
      </c>
      <c r="H3016" s="3" t="s">
        <v>963</v>
      </c>
      <c r="I3016" s="3" t="s">
        <v>7043</v>
      </c>
      <c r="J3016" s="3"/>
      <c r="K3016" s="3"/>
      <c r="L3016" s="5"/>
    </row>
    <row r="3017" spans="1:12" ht="28.8" x14ac:dyDescent="0.55000000000000004">
      <c r="A3017" s="9" t="str">
        <f>HYPERLINK("PDF\FOIA-FWS-2020-00724-0003016.pdf","FOIA-FWS-2020-00724-0003016")</f>
        <v>FOIA-FWS-2020-00724-0003016</v>
      </c>
      <c r="B3017" s="3" t="s">
        <v>4736</v>
      </c>
      <c r="C3017" s="3" t="s">
        <v>3</v>
      </c>
      <c r="D3017" s="3" t="s">
        <v>38</v>
      </c>
      <c r="E3017" s="3" t="s">
        <v>4738</v>
      </c>
      <c r="F3017" s="4">
        <v>43805.788194444445</v>
      </c>
      <c r="G3017" s="3" t="s">
        <v>2086</v>
      </c>
      <c r="H3017" s="3" t="s">
        <v>4737</v>
      </c>
      <c r="I3017" s="3" t="s">
        <v>7043</v>
      </c>
      <c r="J3017" s="3"/>
      <c r="K3017" s="3"/>
      <c r="L3017" s="5"/>
    </row>
    <row r="3018" spans="1:12" ht="28.8" x14ac:dyDescent="0.55000000000000004">
      <c r="A3018" s="9" t="str">
        <f>HYPERLINK("PDF\FOIA-FWS-2020-00724-0003017.pdf","FOIA-FWS-2020-00724-0003017")</f>
        <v>FOIA-FWS-2020-00724-0003017</v>
      </c>
      <c r="B3018" s="3" t="s">
        <v>4736</v>
      </c>
      <c r="C3018" s="3" t="s">
        <v>234</v>
      </c>
      <c r="D3018" s="3" t="s">
        <v>38</v>
      </c>
      <c r="E3018" s="3" t="s">
        <v>4739</v>
      </c>
      <c r="F3018" s="4">
        <v>43805.788194444445</v>
      </c>
      <c r="G3018" s="3"/>
      <c r="H3018" s="3"/>
      <c r="I3018" s="3" t="s">
        <v>7043</v>
      </c>
      <c r="J3018" s="3"/>
      <c r="K3018" s="3"/>
      <c r="L3018" s="5"/>
    </row>
    <row r="3019" spans="1:12" ht="28.8" x14ac:dyDescent="0.55000000000000004">
      <c r="A3019" s="9" t="str">
        <f>HYPERLINK("PDF\FOIA-FWS-2020-00724-0003018.pdf","FOIA-FWS-2020-00724-0003018")</f>
        <v>FOIA-FWS-2020-00724-0003018</v>
      </c>
      <c r="B3019" s="3" t="s">
        <v>4740</v>
      </c>
      <c r="C3019" s="3" t="s">
        <v>3</v>
      </c>
      <c r="D3019" s="3" t="s">
        <v>38</v>
      </c>
      <c r="E3019" s="3" t="s">
        <v>4741</v>
      </c>
      <c r="F3019" s="4">
        <v>43805.794444444444</v>
      </c>
      <c r="G3019" s="3" t="s">
        <v>955</v>
      </c>
      <c r="H3019" s="3" t="s">
        <v>1119</v>
      </c>
      <c r="I3019" s="3" t="s">
        <v>7043</v>
      </c>
      <c r="J3019" s="3"/>
      <c r="K3019" s="3"/>
      <c r="L3019" s="5"/>
    </row>
    <row r="3020" spans="1:12" ht="28.8" x14ac:dyDescent="0.55000000000000004">
      <c r="A3020" s="9" t="str">
        <f>HYPERLINK("PDF\FOIA-FWS-2020-00724-0003019.pdf","FOIA-FWS-2020-00724-0003019")</f>
        <v>FOIA-FWS-2020-00724-0003019</v>
      </c>
      <c r="B3020" s="3" t="s">
        <v>4740</v>
      </c>
      <c r="C3020" s="3" t="s">
        <v>234</v>
      </c>
      <c r="D3020" s="3" t="s">
        <v>38</v>
      </c>
      <c r="E3020" s="3" t="s">
        <v>4742</v>
      </c>
      <c r="F3020" s="4">
        <v>43805.794444444444</v>
      </c>
      <c r="G3020" s="3"/>
      <c r="H3020" s="3"/>
      <c r="I3020" s="3" t="s">
        <v>7043</v>
      </c>
      <c r="J3020" s="3"/>
      <c r="K3020" s="3"/>
      <c r="L3020" s="5"/>
    </row>
    <row r="3021" spans="1:12" ht="28.8" x14ac:dyDescent="0.55000000000000004">
      <c r="A3021" s="9" t="str">
        <f>HYPERLINK("PDF\FOIA-FWS-2020-00724-0003020.pdf","FOIA-FWS-2020-00724-0003020")</f>
        <v>FOIA-FWS-2020-00724-0003020</v>
      </c>
      <c r="B3021" s="3" t="s">
        <v>4743</v>
      </c>
      <c r="C3021" s="3" t="s">
        <v>3</v>
      </c>
      <c r="D3021" s="3" t="s">
        <v>38</v>
      </c>
      <c r="E3021" s="3" t="s">
        <v>4744</v>
      </c>
      <c r="F3021" s="4">
        <v>43808</v>
      </c>
      <c r="G3021" s="3"/>
      <c r="H3021" s="3"/>
      <c r="I3021" s="3" t="s">
        <v>7043</v>
      </c>
      <c r="J3021" s="3"/>
      <c r="K3021" s="3"/>
      <c r="L3021" s="5"/>
    </row>
    <row r="3022" spans="1:12" ht="28.8" x14ac:dyDescent="0.55000000000000004">
      <c r="A3022" s="9" t="str">
        <f>HYPERLINK("PDF\FOIA-FWS-2020-00724-0003021.pdf","FOIA-FWS-2020-00724-0003021")</f>
        <v>FOIA-FWS-2020-00724-0003021</v>
      </c>
      <c r="B3022" s="3" t="s">
        <v>4745</v>
      </c>
      <c r="C3022" s="3" t="s">
        <v>3</v>
      </c>
      <c r="D3022" s="3" t="s">
        <v>38</v>
      </c>
      <c r="E3022" s="3" t="s">
        <v>4746</v>
      </c>
      <c r="F3022" s="4">
        <v>43808</v>
      </c>
      <c r="G3022" s="3"/>
      <c r="H3022" s="3"/>
      <c r="I3022" s="3" t="s">
        <v>7043</v>
      </c>
      <c r="J3022" s="3"/>
      <c r="K3022" s="3"/>
      <c r="L3022" s="5"/>
    </row>
    <row r="3023" spans="1:12" ht="28.8" x14ac:dyDescent="0.55000000000000004">
      <c r="A3023" s="9" t="str">
        <f>HYPERLINK("PDF\FOIA-FWS-2020-00724-0003022.pdf","FOIA-FWS-2020-00724-0003022")</f>
        <v>FOIA-FWS-2020-00724-0003022</v>
      </c>
      <c r="B3023" s="3" t="s">
        <v>4747</v>
      </c>
      <c r="C3023" s="3" t="s">
        <v>3</v>
      </c>
      <c r="D3023" s="3" t="s">
        <v>38</v>
      </c>
      <c r="E3023" s="3" t="s">
        <v>4748</v>
      </c>
      <c r="F3023" s="4">
        <v>43808</v>
      </c>
      <c r="G3023" s="3"/>
      <c r="H3023" s="3"/>
      <c r="I3023" s="3" t="s">
        <v>7043</v>
      </c>
      <c r="J3023" s="3"/>
      <c r="K3023" s="3"/>
      <c r="L3023" s="5"/>
    </row>
    <row r="3024" spans="1:12" ht="28.8" x14ac:dyDescent="0.55000000000000004">
      <c r="A3024" s="9" t="str">
        <f>HYPERLINK("PDF\FOIA-FWS-2020-00724-0003023.pdf","FOIA-FWS-2020-00724-0003023")</f>
        <v>FOIA-FWS-2020-00724-0003023</v>
      </c>
      <c r="B3024" s="3" t="s">
        <v>4749</v>
      </c>
      <c r="C3024" s="3" t="s">
        <v>3</v>
      </c>
      <c r="D3024" s="3" t="s">
        <v>38</v>
      </c>
      <c r="E3024" s="3" t="s">
        <v>4750</v>
      </c>
      <c r="F3024" s="4">
        <v>43808</v>
      </c>
      <c r="G3024" s="3"/>
      <c r="H3024" s="3"/>
      <c r="I3024" s="3" t="s">
        <v>7043</v>
      </c>
      <c r="J3024" s="3"/>
      <c r="K3024" s="3"/>
      <c r="L3024" s="5"/>
    </row>
    <row r="3025" spans="1:12" ht="28.8" x14ac:dyDescent="0.55000000000000004">
      <c r="A3025" s="9" t="str">
        <f>HYPERLINK("PDF\FOIA-FWS-2020-00724-0003024.pdf","FOIA-FWS-2020-00724-0003024")</f>
        <v>FOIA-FWS-2020-00724-0003024</v>
      </c>
      <c r="B3025" s="3" t="s">
        <v>4751</v>
      </c>
      <c r="C3025" s="3" t="s">
        <v>3</v>
      </c>
      <c r="D3025" s="3" t="s">
        <v>38</v>
      </c>
      <c r="E3025" s="3" t="s">
        <v>4752</v>
      </c>
      <c r="F3025" s="4">
        <v>43808</v>
      </c>
      <c r="G3025" s="3"/>
      <c r="H3025" s="3"/>
      <c r="I3025" s="3" t="s">
        <v>7043</v>
      </c>
      <c r="J3025" s="3"/>
      <c r="K3025" s="3"/>
      <c r="L3025" s="5"/>
    </row>
    <row r="3026" spans="1:12" ht="28.8" x14ac:dyDescent="0.55000000000000004">
      <c r="A3026" s="9" t="str">
        <f>HYPERLINK("PDF\FOIA-FWS-2020-00724-0003025.pdf","FOIA-FWS-2020-00724-0003025")</f>
        <v>FOIA-FWS-2020-00724-0003025</v>
      </c>
      <c r="B3026" s="3" t="s">
        <v>4753</v>
      </c>
      <c r="C3026" s="3" t="s">
        <v>3</v>
      </c>
      <c r="D3026" s="3" t="s">
        <v>38</v>
      </c>
      <c r="E3026" s="3" t="s">
        <v>4754</v>
      </c>
      <c r="F3026" s="4">
        <v>43808</v>
      </c>
      <c r="G3026" s="3"/>
      <c r="H3026" s="3"/>
      <c r="I3026" s="3" t="s">
        <v>7043</v>
      </c>
      <c r="J3026" s="3"/>
      <c r="K3026" s="3"/>
      <c r="L3026" s="5"/>
    </row>
    <row r="3027" spans="1:12" ht="28.8" x14ac:dyDescent="0.55000000000000004">
      <c r="A3027" s="9" t="str">
        <f>HYPERLINK("PDF\FOIA-FWS-2020-00724-0003026.pdf","FOIA-FWS-2020-00724-0003026")</f>
        <v>FOIA-FWS-2020-00724-0003026</v>
      </c>
      <c r="B3027" s="3" t="s">
        <v>4755</v>
      </c>
      <c r="C3027" s="3" t="s">
        <v>3</v>
      </c>
      <c r="D3027" s="3" t="s">
        <v>38</v>
      </c>
      <c r="E3027" s="3" t="s">
        <v>4756</v>
      </c>
      <c r="F3027" s="4">
        <v>43808</v>
      </c>
      <c r="G3027" s="3"/>
      <c r="H3027" s="3"/>
      <c r="I3027" s="3" t="s">
        <v>7043</v>
      </c>
      <c r="J3027" s="3"/>
      <c r="K3027" s="3"/>
      <c r="L3027" s="5"/>
    </row>
    <row r="3028" spans="1:12" ht="28.8" x14ac:dyDescent="0.55000000000000004">
      <c r="A3028" s="9" t="str">
        <f>HYPERLINK("PDF\FOIA-FWS-2020-00724-0003027.pdf","FOIA-FWS-2020-00724-0003027")</f>
        <v>FOIA-FWS-2020-00724-0003027</v>
      </c>
      <c r="B3028" s="3" t="s">
        <v>4757</v>
      </c>
      <c r="C3028" s="3" t="s">
        <v>3</v>
      </c>
      <c r="D3028" s="3" t="s">
        <v>38</v>
      </c>
      <c r="E3028" s="3" t="s">
        <v>4758</v>
      </c>
      <c r="F3028" s="4">
        <v>43808</v>
      </c>
      <c r="G3028" s="3"/>
      <c r="H3028" s="3"/>
      <c r="I3028" s="3" t="s">
        <v>7043</v>
      </c>
      <c r="J3028" s="3"/>
      <c r="K3028" s="3"/>
      <c r="L3028" s="5"/>
    </row>
    <row r="3029" spans="1:12" ht="28.8" x14ac:dyDescent="0.55000000000000004">
      <c r="A3029" s="9" t="str">
        <f>HYPERLINK("PDF\FOIA-FWS-2020-00724-0003028.pdf","FOIA-FWS-2020-00724-0003028")</f>
        <v>FOIA-FWS-2020-00724-0003028</v>
      </c>
      <c r="B3029" s="3" t="s">
        <v>4759</v>
      </c>
      <c r="C3029" s="3" t="s">
        <v>3</v>
      </c>
      <c r="D3029" s="3" t="s">
        <v>38</v>
      </c>
      <c r="E3029" s="3" t="s">
        <v>4760</v>
      </c>
      <c r="F3029" s="4">
        <v>43808</v>
      </c>
      <c r="G3029" s="3"/>
      <c r="H3029" s="3"/>
      <c r="I3029" s="3" t="s">
        <v>7043</v>
      </c>
      <c r="J3029" s="3"/>
      <c r="K3029" s="3"/>
      <c r="L3029" s="5"/>
    </row>
    <row r="3030" spans="1:12" ht="28.8" x14ac:dyDescent="0.55000000000000004">
      <c r="A3030" s="9" t="str">
        <f>HYPERLINK("PDF\FOIA-FWS-2020-00724-0003029.pdf","FOIA-FWS-2020-00724-0003029")</f>
        <v>FOIA-FWS-2020-00724-0003029</v>
      </c>
      <c r="B3030" s="3" t="s">
        <v>4761</v>
      </c>
      <c r="C3030" s="3" t="s">
        <v>3</v>
      </c>
      <c r="D3030" s="3" t="s">
        <v>38</v>
      </c>
      <c r="E3030" s="3" t="s">
        <v>4762</v>
      </c>
      <c r="F3030" s="4">
        <v>43808</v>
      </c>
      <c r="G3030" s="3"/>
      <c r="H3030" s="3"/>
      <c r="I3030" s="3" t="s">
        <v>7043</v>
      </c>
      <c r="J3030" s="3"/>
      <c r="K3030" s="3"/>
      <c r="L3030" s="5"/>
    </row>
    <row r="3031" spans="1:12" ht="28.8" x14ac:dyDescent="0.55000000000000004">
      <c r="A3031" s="9" t="str">
        <f>HYPERLINK("PDF\FOIA-FWS-2020-00724-0003030.pdf","FOIA-FWS-2020-00724-0003030")</f>
        <v>FOIA-FWS-2020-00724-0003030</v>
      </c>
      <c r="B3031" s="3" t="s">
        <v>4763</v>
      </c>
      <c r="C3031" s="3" t="s">
        <v>3</v>
      </c>
      <c r="D3031" s="3" t="s">
        <v>38</v>
      </c>
      <c r="E3031" s="3" t="s">
        <v>4764</v>
      </c>
      <c r="F3031" s="4">
        <v>43808</v>
      </c>
      <c r="G3031" s="3"/>
      <c r="H3031" s="3"/>
      <c r="I3031" s="3" t="s">
        <v>7043</v>
      </c>
      <c r="J3031" s="3"/>
      <c r="K3031" s="3"/>
      <c r="L3031" s="5"/>
    </row>
    <row r="3032" spans="1:12" ht="28.8" x14ac:dyDescent="0.55000000000000004">
      <c r="A3032" s="9" t="str">
        <f>HYPERLINK("PDF\FOIA-FWS-2020-00724-0003031.pdf","FOIA-FWS-2020-00724-0003031")</f>
        <v>FOIA-FWS-2020-00724-0003031</v>
      </c>
      <c r="B3032" s="3" t="s">
        <v>4765</v>
      </c>
      <c r="C3032" s="3" t="s">
        <v>3</v>
      </c>
      <c r="D3032" s="3" t="s">
        <v>38</v>
      </c>
      <c r="E3032" s="3" t="s">
        <v>4766</v>
      </c>
      <c r="F3032" s="4">
        <v>43808</v>
      </c>
      <c r="G3032" s="3"/>
      <c r="H3032" s="3"/>
      <c r="I3032" s="3" t="s">
        <v>7043</v>
      </c>
      <c r="J3032" s="3"/>
      <c r="K3032" s="3"/>
      <c r="L3032" s="5"/>
    </row>
    <row r="3033" spans="1:12" ht="28.8" x14ac:dyDescent="0.55000000000000004">
      <c r="A3033" s="9" t="str">
        <f>HYPERLINK("PDF\FOIA-FWS-2020-00724-0003032.pdf","FOIA-FWS-2020-00724-0003032")</f>
        <v>FOIA-FWS-2020-00724-0003032</v>
      </c>
      <c r="B3033" s="3" t="s">
        <v>4767</v>
      </c>
      <c r="C3033" s="3" t="s">
        <v>3</v>
      </c>
      <c r="D3033" s="3" t="s">
        <v>38</v>
      </c>
      <c r="E3033" s="3" t="s">
        <v>4768</v>
      </c>
      <c r="F3033" s="4">
        <v>43808</v>
      </c>
      <c r="G3033" s="3"/>
      <c r="H3033" s="3"/>
      <c r="I3033" s="3" t="s">
        <v>7043</v>
      </c>
      <c r="J3033" s="3"/>
      <c r="K3033" s="3"/>
      <c r="L3033" s="5"/>
    </row>
    <row r="3034" spans="1:12" ht="28.8" x14ac:dyDescent="0.55000000000000004">
      <c r="A3034" s="9" t="str">
        <f>HYPERLINK("PDF\FOIA-FWS-2020-00724-0003033.pdf","FOIA-FWS-2020-00724-0003033")</f>
        <v>FOIA-FWS-2020-00724-0003033</v>
      </c>
      <c r="B3034" s="3" t="s">
        <v>4769</v>
      </c>
      <c r="C3034" s="3" t="s">
        <v>3</v>
      </c>
      <c r="D3034" s="3" t="s">
        <v>38</v>
      </c>
      <c r="E3034" s="3" t="s">
        <v>4770</v>
      </c>
      <c r="F3034" s="4">
        <v>43808</v>
      </c>
      <c r="G3034" s="3"/>
      <c r="H3034" s="3"/>
      <c r="I3034" s="3" t="s">
        <v>7043</v>
      </c>
      <c r="J3034" s="3"/>
      <c r="K3034" s="3"/>
      <c r="L3034" s="5"/>
    </row>
    <row r="3035" spans="1:12" ht="28.8" x14ac:dyDescent="0.55000000000000004">
      <c r="A3035" s="9" t="str">
        <f>HYPERLINK("PDF\FOIA-FWS-2020-00724-0003034.pdf","FOIA-FWS-2020-00724-0003034")</f>
        <v>FOIA-FWS-2020-00724-0003034</v>
      </c>
      <c r="B3035" s="3" t="s">
        <v>4771</v>
      </c>
      <c r="C3035" s="3" t="s">
        <v>3</v>
      </c>
      <c r="D3035" s="3" t="s">
        <v>38</v>
      </c>
      <c r="E3035" s="3" t="s">
        <v>4772</v>
      </c>
      <c r="F3035" s="4">
        <v>43808</v>
      </c>
      <c r="G3035" s="3"/>
      <c r="H3035" s="3"/>
      <c r="I3035" s="3" t="s">
        <v>7043</v>
      </c>
      <c r="J3035" s="3"/>
      <c r="K3035" s="3"/>
      <c r="L3035" s="5"/>
    </row>
    <row r="3036" spans="1:12" ht="28.8" x14ac:dyDescent="0.55000000000000004">
      <c r="A3036" s="9" t="str">
        <f>HYPERLINK("PDF\FOIA-FWS-2020-00724-0003035.pdf","FOIA-FWS-2020-00724-0003035")</f>
        <v>FOIA-FWS-2020-00724-0003035</v>
      </c>
      <c r="B3036" s="3" t="s">
        <v>4773</v>
      </c>
      <c r="C3036" s="3" t="s">
        <v>3</v>
      </c>
      <c r="D3036" s="3" t="s">
        <v>38</v>
      </c>
      <c r="E3036" s="3" t="s">
        <v>4774</v>
      </c>
      <c r="F3036" s="4">
        <v>43808</v>
      </c>
      <c r="G3036" s="3"/>
      <c r="H3036" s="3"/>
      <c r="I3036" s="3" t="s">
        <v>7043</v>
      </c>
      <c r="J3036" s="3"/>
      <c r="K3036" s="3"/>
      <c r="L3036" s="5"/>
    </row>
    <row r="3037" spans="1:12" ht="28.8" x14ac:dyDescent="0.55000000000000004">
      <c r="A3037" s="9" t="str">
        <f>HYPERLINK("PDF\FOIA-FWS-2020-00724-0003036.pdf","FOIA-FWS-2020-00724-0003036")</f>
        <v>FOIA-FWS-2020-00724-0003036</v>
      </c>
      <c r="B3037" s="3" t="s">
        <v>4775</v>
      </c>
      <c r="C3037" s="3" t="s">
        <v>3</v>
      </c>
      <c r="D3037" s="3" t="s">
        <v>38</v>
      </c>
      <c r="E3037" s="3" t="s">
        <v>4776</v>
      </c>
      <c r="F3037" s="4">
        <v>43808</v>
      </c>
      <c r="G3037" s="3"/>
      <c r="H3037" s="3"/>
      <c r="I3037" s="3" t="s">
        <v>7043</v>
      </c>
      <c r="J3037" s="3"/>
      <c r="K3037" s="3"/>
      <c r="L3037" s="5"/>
    </row>
    <row r="3038" spans="1:12" ht="28.8" x14ac:dyDescent="0.55000000000000004">
      <c r="A3038" s="9" t="str">
        <f>HYPERLINK("PDF\FOIA-FWS-2020-00724-0003037.pdf","FOIA-FWS-2020-00724-0003037")</f>
        <v>FOIA-FWS-2020-00724-0003037</v>
      </c>
      <c r="B3038" s="3" t="s">
        <v>4777</v>
      </c>
      <c r="C3038" s="3" t="s">
        <v>3</v>
      </c>
      <c r="D3038" s="3" t="s">
        <v>38</v>
      </c>
      <c r="E3038" s="3" t="s">
        <v>4778</v>
      </c>
      <c r="F3038" s="4">
        <v>43808</v>
      </c>
      <c r="G3038" s="3"/>
      <c r="H3038" s="3"/>
      <c r="I3038" s="3" t="s">
        <v>7043</v>
      </c>
      <c r="J3038" s="3"/>
      <c r="K3038" s="3"/>
      <c r="L3038" s="5"/>
    </row>
    <row r="3039" spans="1:12" ht="28.8" x14ac:dyDescent="0.55000000000000004">
      <c r="A3039" s="9" t="str">
        <f>HYPERLINK("PDF\FOIA-FWS-2020-00724-0003038.pdf","FOIA-FWS-2020-00724-0003038")</f>
        <v>FOIA-FWS-2020-00724-0003038</v>
      </c>
      <c r="B3039" s="3" t="s">
        <v>4779</v>
      </c>
      <c r="C3039" s="3" t="s">
        <v>3</v>
      </c>
      <c r="D3039" s="3" t="s">
        <v>38</v>
      </c>
      <c r="E3039" s="3" t="s">
        <v>4780</v>
      </c>
      <c r="F3039" s="4">
        <v>43808</v>
      </c>
      <c r="G3039" s="3"/>
      <c r="H3039" s="3"/>
      <c r="I3039" s="3" t="s">
        <v>7043</v>
      </c>
      <c r="J3039" s="3"/>
      <c r="K3039" s="3"/>
      <c r="L3039" s="5"/>
    </row>
    <row r="3040" spans="1:12" ht="28.8" x14ac:dyDescent="0.55000000000000004">
      <c r="A3040" s="9" t="str">
        <f>HYPERLINK("PDF\FOIA-FWS-2020-00724-0003039.pdf","FOIA-FWS-2020-00724-0003039")</f>
        <v>FOIA-FWS-2020-00724-0003039</v>
      </c>
      <c r="B3040" s="3" t="s">
        <v>4781</v>
      </c>
      <c r="C3040" s="3" t="s">
        <v>3</v>
      </c>
      <c r="D3040" s="3" t="s">
        <v>38</v>
      </c>
      <c r="E3040" s="3" t="s">
        <v>4782</v>
      </c>
      <c r="F3040" s="4">
        <v>43808</v>
      </c>
      <c r="G3040" s="3"/>
      <c r="H3040" s="3"/>
      <c r="I3040" s="3" t="s">
        <v>7043</v>
      </c>
      <c r="J3040" s="3"/>
      <c r="K3040" s="3"/>
      <c r="L3040" s="5"/>
    </row>
    <row r="3041" spans="1:12" ht="28.8" x14ac:dyDescent="0.55000000000000004">
      <c r="A3041" s="9" t="str">
        <f>HYPERLINK("PDF\FOIA-FWS-2020-00724-0003040.pdf","FOIA-FWS-2020-00724-0003040")</f>
        <v>FOIA-FWS-2020-00724-0003040</v>
      </c>
      <c r="B3041" s="3" t="s">
        <v>4783</v>
      </c>
      <c r="C3041" s="3" t="s">
        <v>3</v>
      </c>
      <c r="D3041" s="3" t="s">
        <v>38</v>
      </c>
      <c r="E3041" s="3" t="s">
        <v>4784</v>
      </c>
      <c r="F3041" s="4">
        <v>43808</v>
      </c>
      <c r="G3041" s="3"/>
      <c r="H3041" s="3"/>
      <c r="I3041" s="3" t="s">
        <v>7043</v>
      </c>
      <c r="J3041" s="3"/>
      <c r="K3041" s="3"/>
      <c r="L3041" s="5"/>
    </row>
    <row r="3042" spans="1:12" ht="28.8" x14ac:dyDescent="0.55000000000000004">
      <c r="A3042" s="9" t="str">
        <f>HYPERLINK("PDF\FOIA-FWS-2020-00724-0003041.pdf","FOIA-FWS-2020-00724-0003041")</f>
        <v>FOIA-FWS-2020-00724-0003041</v>
      </c>
      <c r="B3042" s="3" t="s">
        <v>4785</v>
      </c>
      <c r="C3042" s="3" t="s">
        <v>3</v>
      </c>
      <c r="D3042" s="3" t="s">
        <v>38</v>
      </c>
      <c r="E3042" s="3" t="s">
        <v>4786</v>
      </c>
      <c r="F3042" s="4">
        <v>43808</v>
      </c>
      <c r="G3042" s="3"/>
      <c r="H3042" s="3"/>
      <c r="I3042" s="3" t="s">
        <v>7043</v>
      </c>
      <c r="J3042" s="3"/>
      <c r="K3042" s="3"/>
      <c r="L3042" s="5"/>
    </row>
    <row r="3043" spans="1:12" ht="28.8" x14ac:dyDescent="0.55000000000000004">
      <c r="A3043" s="9" t="str">
        <f>HYPERLINK("PDF\FOIA-FWS-2020-00724-0003042.pdf","FOIA-FWS-2020-00724-0003042")</f>
        <v>FOIA-FWS-2020-00724-0003042</v>
      </c>
      <c r="B3043" s="3" t="s">
        <v>4787</v>
      </c>
      <c r="C3043" s="3" t="s">
        <v>3</v>
      </c>
      <c r="D3043" s="3" t="s">
        <v>38</v>
      </c>
      <c r="E3043" s="3" t="s">
        <v>4788</v>
      </c>
      <c r="F3043" s="4">
        <v>43808</v>
      </c>
      <c r="G3043" s="3"/>
      <c r="H3043" s="3"/>
      <c r="I3043" s="3" t="s">
        <v>7043</v>
      </c>
      <c r="J3043" s="3"/>
      <c r="K3043" s="3"/>
      <c r="L3043" s="5"/>
    </row>
    <row r="3044" spans="1:12" ht="28.8" x14ac:dyDescent="0.55000000000000004">
      <c r="A3044" s="9" t="str">
        <f>HYPERLINK("PDF\FOIA-FWS-2020-00724-0003043.pdf","FOIA-FWS-2020-00724-0003043")</f>
        <v>FOIA-FWS-2020-00724-0003043</v>
      </c>
      <c r="B3044" s="3" t="s">
        <v>4789</v>
      </c>
      <c r="C3044" s="3" t="s">
        <v>3</v>
      </c>
      <c r="D3044" s="3" t="s">
        <v>38</v>
      </c>
      <c r="E3044" s="3" t="s">
        <v>4790</v>
      </c>
      <c r="F3044" s="4">
        <v>43808</v>
      </c>
      <c r="G3044" s="3"/>
      <c r="H3044" s="3"/>
      <c r="I3044" s="3" t="s">
        <v>7043</v>
      </c>
      <c r="J3044" s="3"/>
      <c r="K3044" s="3"/>
      <c r="L3044" s="5"/>
    </row>
    <row r="3045" spans="1:12" ht="28.8" x14ac:dyDescent="0.55000000000000004">
      <c r="A3045" s="9" t="str">
        <f>HYPERLINK("PDF\FOIA-FWS-2020-00724-0003044.pdf","FOIA-FWS-2020-00724-0003044")</f>
        <v>FOIA-FWS-2020-00724-0003044</v>
      </c>
      <c r="B3045" s="3" t="s">
        <v>4791</v>
      </c>
      <c r="C3045" s="3" t="s">
        <v>3</v>
      </c>
      <c r="D3045" s="3" t="s">
        <v>38</v>
      </c>
      <c r="E3045" s="3" t="s">
        <v>4792</v>
      </c>
      <c r="F3045" s="4">
        <v>43808</v>
      </c>
      <c r="G3045" s="3"/>
      <c r="H3045" s="3"/>
      <c r="I3045" s="3" t="s">
        <v>7043</v>
      </c>
      <c r="J3045" s="3"/>
      <c r="K3045" s="3"/>
      <c r="L3045" s="5"/>
    </row>
    <row r="3046" spans="1:12" ht="28.8" x14ac:dyDescent="0.55000000000000004">
      <c r="A3046" s="9" t="str">
        <f>HYPERLINK("PDF\FOIA-FWS-2020-00724-0003045.pdf","FOIA-FWS-2020-00724-0003045")</f>
        <v>FOIA-FWS-2020-00724-0003045</v>
      </c>
      <c r="B3046" s="3" t="s">
        <v>4793</v>
      </c>
      <c r="C3046" s="3" t="s">
        <v>3</v>
      </c>
      <c r="D3046" s="3" t="s">
        <v>38</v>
      </c>
      <c r="E3046" s="3" t="s">
        <v>4794</v>
      </c>
      <c r="F3046" s="4">
        <v>43808</v>
      </c>
      <c r="G3046" s="3"/>
      <c r="H3046" s="3"/>
      <c r="I3046" s="3" t="s">
        <v>7043</v>
      </c>
      <c r="J3046" s="3"/>
      <c r="K3046" s="3"/>
      <c r="L3046" s="5"/>
    </row>
    <row r="3047" spans="1:12" ht="28.8" x14ac:dyDescent="0.55000000000000004">
      <c r="A3047" s="9" t="str">
        <f>HYPERLINK("PDF\FOIA-FWS-2020-00724-0003046.pdf","FOIA-FWS-2020-00724-0003046")</f>
        <v>FOIA-FWS-2020-00724-0003046</v>
      </c>
      <c r="B3047" s="3" t="s">
        <v>4795</v>
      </c>
      <c r="C3047" s="3" t="s">
        <v>3</v>
      </c>
      <c r="D3047" s="3" t="s">
        <v>38</v>
      </c>
      <c r="E3047" s="3" t="s">
        <v>4796</v>
      </c>
      <c r="F3047" s="4">
        <v>43808</v>
      </c>
      <c r="G3047" s="3"/>
      <c r="H3047" s="3"/>
      <c r="I3047" s="3" t="s">
        <v>7043</v>
      </c>
      <c r="J3047" s="3"/>
      <c r="K3047" s="3"/>
      <c r="L3047" s="5"/>
    </row>
    <row r="3048" spans="1:12" ht="28.8" x14ac:dyDescent="0.55000000000000004">
      <c r="A3048" s="9" t="str">
        <f>HYPERLINK("PDF\FOIA-FWS-2020-00724-0003047.pdf","FOIA-FWS-2020-00724-0003047")</f>
        <v>FOIA-FWS-2020-00724-0003047</v>
      </c>
      <c r="B3048" s="3" t="s">
        <v>4797</v>
      </c>
      <c r="C3048" s="3" t="s">
        <v>3</v>
      </c>
      <c r="D3048" s="3" t="s">
        <v>33</v>
      </c>
      <c r="E3048" s="3" t="s">
        <v>4798</v>
      </c>
      <c r="F3048" s="4">
        <v>43808</v>
      </c>
      <c r="G3048" s="3"/>
      <c r="H3048" s="3"/>
      <c r="I3048" s="3" t="s">
        <v>7043</v>
      </c>
      <c r="J3048" s="3"/>
      <c r="K3048" s="3"/>
      <c r="L3048" s="5"/>
    </row>
    <row r="3049" spans="1:12" ht="28.8" x14ac:dyDescent="0.55000000000000004">
      <c r="A3049" s="9" t="str">
        <f>HYPERLINK("PDF\FOIA-FWS-2020-00724-0003048.pdf","FOIA-FWS-2020-00724-0003048")</f>
        <v>FOIA-FWS-2020-00724-0003048</v>
      </c>
      <c r="B3049" s="3" t="s">
        <v>4799</v>
      </c>
      <c r="C3049" s="3" t="s">
        <v>3</v>
      </c>
      <c r="D3049" s="3" t="s">
        <v>33</v>
      </c>
      <c r="E3049" s="3" t="s">
        <v>4800</v>
      </c>
      <c r="F3049" s="4">
        <v>43808</v>
      </c>
      <c r="G3049" s="3"/>
      <c r="H3049" s="3"/>
      <c r="I3049" s="3" t="s">
        <v>7043</v>
      </c>
      <c r="J3049" s="3"/>
      <c r="K3049" s="3"/>
      <c r="L3049" s="5"/>
    </row>
    <row r="3050" spans="1:12" ht="28.8" x14ac:dyDescent="0.55000000000000004">
      <c r="A3050" s="9" t="str">
        <f>HYPERLINK("PDF\FOIA-FWS-2020-00724-0003049.pdf","FOIA-FWS-2020-00724-0003049")</f>
        <v>FOIA-FWS-2020-00724-0003049</v>
      </c>
      <c r="B3050" s="3" t="s">
        <v>4801</v>
      </c>
      <c r="C3050" s="3" t="s">
        <v>3</v>
      </c>
      <c r="D3050" s="3" t="s">
        <v>33</v>
      </c>
      <c r="E3050" s="3" t="s">
        <v>4802</v>
      </c>
      <c r="F3050" s="4">
        <v>43808</v>
      </c>
      <c r="G3050" s="3"/>
      <c r="H3050" s="3"/>
      <c r="I3050" s="3" t="s">
        <v>7043</v>
      </c>
      <c r="J3050" s="3"/>
      <c r="K3050" s="3"/>
      <c r="L3050" s="5"/>
    </row>
    <row r="3051" spans="1:12" ht="28.8" x14ac:dyDescent="0.55000000000000004">
      <c r="A3051" s="9" t="str">
        <f>HYPERLINK("PDF\FOIA-FWS-2020-00724-0003050.pdf","FOIA-FWS-2020-00724-0003050")</f>
        <v>FOIA-FWS-2020-00724-0003050</v>
      </c>
      <c r="B3051" s="3" t="s">
        <v>4803</v>
      </c>
      <c r="C3051" s="3" t="s">
        <v>3</v>
      </c>
      <c r="D3051" s="3" t="s">
        <v>33</v>
      </c>
      <c r="E3051" s="3" t="s">
        <v>4804</v>
      </c>
      <c r="F3051" s="4">
        <v>43808</v>
      </c>
      <c r="G3051" s="3"/>
      <c r="H3051" s="3"/>
      <c r="I3051" s="3" t="s">
        <v>7043</v>
      </c>
      <c r="J3051" s="3"/>
      <c r="K3051" s="3"/>
      <c r="L3051" s="5"/>
    </row>
    <row r="3052" spans="1:12" ht="28.8" x14ac:dyDescent="0.55000000000000004">
      <c r="A3052" s="9" t="str">
        <f>HYPERLINK("PDF\FOIA-FWS-2020-00724-0003051.pdf","FOIA-FWS-2020-00724-0003051")</f>
        <v>FOIA-FWS-2020-00724-0003051</v>
      </c>
      <c r="B3052" s="3" t="s">
        <v>4805</v>
      </c>
      <c r="C3052" s="3" t="s">
        <v>3</v>
      </c>
      <c r="D3052" s="3" t="s">
        <v>38</v>
      </c>
      <c r="E3052" s="3"/>
      <c r="F3052" s="4">
        <v>43808</v>
      </c>
      <c r="G3052" s="3"/>
      <c r="H3052" s="3"/>
      <c r="I3052" s="3" t="s">
        <v>7043</v>
      </c>
      <c r="J3052" s="3"/>
      <c r="K3052" s="3"/>
      <c r="L3052" s="5"/>
    </row>
    <row r="3053" spans="1:12" ht="72" x14ac:dyDescent="0.55000000000000004">
      <c r="A3053" s="9" t="str">
        <f>HYPERLINK("PDF\FOIA-FWS-2020-00724-0003052.pdf","FOIA-FWS-2020-00724-0003052")</f>
        <v>FOIA-FWS-2020-00724-0003052</v>
      </c>
      <c r="B3053" s="3" t="s">
        <v>4806</v>
      </c>
      <c r="C3053" s="3" t="s">
        <v>3</v>
      </c>
      <c r="D3053" s="3" t="s">
        <v>33</v>
      </c>
      <c r="E3053" s="3" t="s">
        <v>4808</v>
      </c>
      <c r="F3053" s="4">
        <v>43808.55972222222</v>
      </c>
      <c r="G3053" s="3" t="s">
        <v>4807</v>
      </c>
      <c r="H3053" s="3" t="s">
        <v>3754</v>
      </c>
      <c r="I3053" s="3" t="s">
        <v>7043</v>
      </c>
      <c r="J3053" s="3"/>
      <c r="K3053" s="3"/>
      <c r="L3053" s="5"/>
    </row>
    <row r="3054" spans="1:12" ht="28.8" x14ac:dyDescent="0.55000000000000004">
      <c r="A3054" s="9" t="str">
        <f>HYPERLINK("PDF\FOIA-FWS-2020-00724-0003053.pdf","FOIA-FWS-2020-00724-0003053")</f>
        <v>FOIA-FWS-2020-00724-0003053</v>
      </c>
      <c r="B3054" s="3" t="s">
        <v>4809</v>
      </c>
      <c r="C3054" s="3" t="s">
        <v>3</v>
      </c>
      <c r="D3054" s="3" t="s">
        <v>38</v>
      </c>
      <c r="E3054" s="3" t="s">
        <v>4810</v>
      </c>
      <c r="F3054" s="4">
        <v>43808.568055555559</v>
      </c>
      <c r="G3054" s="3" t="s">
        <v>963</v>
      </c>
      <c r="H3054" s="3" t="s">
        <v>1392</v>
      </c>
      <c r="I3054" s="3" t="s">
        <v>7043</v>
      </c>
      <c r="J3054" s="3"/>
      <c r="K3054" s="3"/>
      <c r="L3054" s="5"/>
    </row>
    <row r="3055" spans="1:12" ht="43.2" x14ac:dyDescent="0.55000000000000004">
      <c r="A3055" s="9" t="str">
        <f>HYPERLINK("PDF\FOIA-FWS-2020-00724-0003054.pdf","FOIA-FWS-2020-00724-0003054")</f>
        <v>FOIA-FWS-2020-00724-0003054</v>
      </c>
      <c r="B3055" s="3" t="s">
        <v>4811</v>
      </c>
      <c r="C3055" s="3" t="s">
        <v>3</v>
      </c>
      <c r="D3055" s="3" t="s">
        <v>38</v>
      </c>
      <c r="E3055" s="3" t="s">
        <v>4812</v>
      </c>
      <c r="F3055" s="4">
        <v>43808.628472222219</v>
      </c>
      <c r="G3055" s="3" t="s">
        <v>955</v>
      </c>
      <c r="H3055" s="3" t="s">
        <v>872</v>
      </c>
      <c r="I3055" s="3" t="s">
        <v>7043</v>
      </c>
      <c r="J3055" s="3"/>
      <c r="K3055" s="3"/>
      <c r="L3055" s="5"/>
    </row>
    <row r="3056" spans="1:12" ht="28.8" x14ac:dyDescent="0.55000000000000004">
      <c r="A3056" s="9" t="str">
        <f>HYPERLINK("PDF\FOIA-FWS-2020-00724-0003055.pdf","FOIA-FWS-2020-00724-0003055")</f>
        <v>FOIA-FWS-2020-00724-0003055</v>
      </c>
      <c r="B3056" s="3" t="s">
        <v>4813</v>
      </c>
      <c r="C3056" s="3" t="s">
        <v>3</v>
      </c>
      <c r="D3056" s="3" t="s">
        <v>38</v>
      </c>
      <c r="E3056" s="3" t="s">
        <v>4815</v>
      </c>
      <c r="F3056" s="4">
        <v>43808.777083333334</v>
      </c>
      <c r="G3056" s="3" t="s">
        <v>4814</v>
      </c>
      <c r="H3056" s="3" t="s">
        <v>861</v>
      </c>
      <c r="I3056" s="3" t="s">
        <v>7043</v>
      </c>
      <c r="J3056" s="3"/>
      <c r="K3056" s="3"/>
      <c r="L3056" s="5"/>
    </row>
    <row r="3057" spans="1:12" ht="28.8" x14ac:dyDescent="0.55000000000000004">
      <c r="A3057" s="9" t="str">
        <f>HYPERLINK("PDF\FOIA-FWS-2020-00724-0003056.pdf","FOIA-FWS-2020-00724-0003056")</f>
        <v>FOIA-FWS-2020-00724-0003056</v>
      </c>
      <c r="B3057" s="3" t="s">
        <v>4813</v>
      </c>
      <c r="C3057" s="3" t="s">
        <v>234</v>
      </c>
      <c r="D3057" s="3" t="s">
        <v>38</v>
      </c>
      <c r="E3057" s="3" t="s">
        <v>4816</v>
      </c>
      <c r="F3057" s="4">
        <v>43808.777083333334</v>
      </c>
      <c r="G3057" s="3"/>
      <c r="H3057" s="3"/>
      <c r="I3057" s="3" t="s">
        <v>7043</v>
      </c>
      <c r="J3057" s="3"/>
      <c r="K3057" s="3"/>
      <c r="L3057" s="5"/>
    </row>
    <row r="3058" spans="1:12" ht="187.2" x14ac:dyDescent="0.55000000000000004">
      <c r="A3058" s="9" t="str">
        <f>HYPERLINK("PDF\FOIA-FWS-2020-00724-0003057.pdf","FOIA-FWS-2020-00724-0003057")</f>
        <v>FOIA-FWS-2020-00724-0003057</v>
      </c>
      <c r="B3058" s="3" t="s">
        <v>4817</v>
      </c>
      <c r="C3058" s="3" t="s">
        <v>3</v>
      </c>
      <c r="D3058" s="3" t="s">
        <v>33</v>
      </c>
      <c r="E3058" s="3" t="s">
        <v>4818</v>
      </c>
      <c r="F3058" s="4">
        <v>43808.779166666667</v>
      </c>
      <c r="G3058" s="3" t="s">
        <v>872</v>
      </c>
      <c r="H3058" s="3" t="s">
        <v>893</v>
      </c>
      <c r="I3058" s="3" t="s">
        <v>7043</v>
      </c>
      <c r="J3058" s="3"/>
      <c r="K3058" s="3"/>
      <c r="L3058" s="5"/>
    </row>
    <row r="3059" spans="1:12" ht="28.8" x14ac:dyDescent="0.55000000000000004">
      <c r="A3059" s="9" t="str">
        <f>HYPERLINK("PDF\FOIA-FWS-2020-00724-0003058.pdf","FOIA-FWS-2020-00724-0003058")</f>
        <v>FOIA-FWS-2020-00724-0003058</v>
      </c>
      <c r="B3059" s="3" t="s">
        <v>4819</v>
      </c>
      <c r="C3059" s="3" t="s">
        <v>3</v>
      </c>
      <c r="D3059" s="3" t="s">
        <v>38</v>
      </c>
      <c r="E3059" s="3" t="s">
        <v>4821</v>
      </c>
      <c r="F3059" s="4">
        <v>43808.787499999999</v>
      </c>
      <c r="G3059" s="3" t="s">
        <v>4820</v>
      </c>
      <c r="H3059" s="3" t="s">
        <v>861</v>
      </c>
      <c r="I3059" s="3" t="s">
        <v>7043</v>
      </c>
      <c r="J3059" s="3"/>
      <c r="K3059" s="3"/>
      <c r="L3059" s="5"/>
    </row>
    <row r="3060" spans="1:12" ht="28.8" x14ac:dyDescent="0.55000000000000004">
      <c r="A3060" s="9" t="str">
        <f>HYPERLINK("PDF\FOIA-FWS-2020-00724-0003059.pdf","FOIA-FWS-2020-00724-0003059")</f>
        <v>FOIA-FWS-2020-00724-0003059</v>
      </c>
      <c r="B3060" s="3" t="s">
        <v>4819</v>
      </c>
      <c r="C3060" s="3" t="s">
        <v>234</v>
      </c>
      <c r="D3060" s="3" t="s">
        <v>38</v>
      </c>
      <c r="E3060" s="3" t="s">
        <v>4822</v>
      </c>
      <c r="F3060" s="4">
        <v>43808.787499999999</v>
      </c>
      <c r="G3060" s="3"/>
      <c r="H3060" s="3"/>
      <c r="I3060" s="3" t="s">
        <v>7043</v>
      </c>
      <c r="J3060" s="3"/>
      <c r="K3060" s="3"/>
      <c r="L3060" s="5"/>
    </row>
    <row r="3061" spans="1:12" ht="72" x14ac:dyDescent="0.55000000000000004">
      <c r="A3061" s="9" t="str">
        <f>HYPERLINK("PDF\FOIA-FWS-2020-00724-0003060.pdf","FOIA-FWS-2020-00724-0003060")</f>
        <v>FOIA-FWS-2020-00724-0003060</v>
      </c>
      <c r="B3061" s="3" t="s">
        <v>4823</v>
      </c>
      <c r="C3061" s="3" t="s">
        <v>3</v>
      </c>
      <c r="D3061" s="3" t="s">
        <v>33</v>
      </c>
      <c r="E3061" s="3" t="s">
        <v>4825</v>
      </c>
      <c r="F3061" s="4">
        <v>43808.852777777778</v>
      </c>
      <c r="G3061" s="3" t="s">
        <v>1719</v>
      </c>
      <c r="H3061" s="3" t="s">
        <v>4824</v>
      </c>
      <c r="I3061" s="3" t="s">
        <v>7043</v>
      </c>
      <c r="J3061" s="3"/>
      <c r="K3061" s="3"/>
      <c r="L3061" s="5"/>
    </row>
    <row r="3062" spans="1:12" ht="72" x14ac:dyDescent="0.55000000000000004">
      <c r="A3062" s="9" t="str">
        <f>HYPERLINK("PDF\FOIA-FWS-2020-00724-0003061.pdf","FOIA-FWS-2020-00724-0003061")</f>
        <v>FOIA-FWS-2020-00724-0003061</v>
      </c>
      <c r="B3062" s="3" t="s">
        <v>4823</v>
      </c>
      <c r="C3062" s="3" t="s">
        <v>234</v>
      </c>
      <c r="D3062" s="3" t="s">
        <v>33</v>
      </c>
      <c r="E3062" s="3" t="s">
        <v>867</v>
      </c>
      <c r="F3062" s="4">
        <v>43808.852777777778</v>
      </c>
      <c r="G3062" s="3" t="s">
        <v>4826</v>
      </c>
      <c r="H3062" s="3" t="s">
        <v>4827</v>
      </c>
      <c r="I3062" s="3" t="s">
        <v>7043</v>
      </c>
      <c r="J3062" s="3"/>
      <c r="K3062" s="3"/>
      <c r="L3062" s="5"/>
    </row>
    <row r="3063" spans="1:12" ht="28.8" x14ac:dyDescent="0.55000000000000004">
      <c r="A3063" s="9" t="str">
        <f>HYPERLINK("PDF\FOIA-FWS-2020-00724-0003062.pdf","FOIA-FWS-2020-00724-0003062")</f>
        <v>FOIA-FWS-2020-00724-0003062</v>
      </c>
      <c r="B3063" s="3" t="s">
        <v>4828</v>
      </c>
      <c r="C3063" s="3" t="s">
        <v>3</v>
      </c>
      <c r="D3063" s="3" t="s">
        <v>38</v>
      </c>
      <c r="E3063" s="3" t="s">
        <v>4829</v>
      </c>
      <c r="F3063" s="4">
        <v>43808.854166666664</v>
      </c>
      <c r="G3063" s="3" t="s">
        <v>2509</v>
      </c>
      <c r="H3063" s="3" t="s">
        <v>955</v>
      </c>
      <c r="I3063" s="3" t="s">
        <v>7043</v>
      </c>
      <c r="J3063" s="3"/>
      <c r="K3063" s="3"/>
      <c r="L3063" s="5"/>
    </row>
    <row r="3064" spans="1:12" ht="28.8" x14ac:dyDescent="0.55000000000000004">
      <c r="A3064" s="9" t="str">
        <f>HYPERLINK("PDF\FOIA-FWS-2020-00724-0003063.pdf","FOIA-FWS-2020-00724-0003063")</f>
        <v>FOIA-FWS-2020-00724-0003063</v>
      </c>
      <c r="B3064" s="3" t="s">
        <v>4828</v>
      </c>
      <c r="C3064" s="3" t="s">
        <v>234</v>
      </c>
      <c r="D3064" s="3" t="s">
        <v>38</v>
      </c>
      <c r="E3064" s="3" t="s">
        <v>4830</v>
      </c>
      <c r="F3064" s="4">
        <v>43808.854166666664</v>
      </c>
      <c r="G3064" s="3"/>
      <c r="H3064" s="3"/>
      <c r="I3064" s="3" t="s">
        <v>7043</v>
      </c>
      <c r="J3064" s="3"/>
      <c r="K3064" s="3"/>
      <c r="L3064" s="5"/>
    </row>
    <row r="3065" spans="1:12" ht="28.8" x14ac:dyDescent="0.55000000000000004">
      <c r="A3065" s="9" t="str">
        <f>HYPERLINK("PDF\FOIA-FWS-2020-00724-0003064.pdf","FOIA-FWS-2020-00724-0003064")</f>
        <v>FOIA-FWS-2020-00724-0003064</v>
      </c>
      <c r="B3065" s="3" t="s">
        <v>4831</v>
      </c>
      <c r="C3065" s="3" t="s">
        <v>3</v>
      </c>
      <c r="D3065" s="3" t="s">
        <v>38</v>
      </c>
      <c r="E3065" s="3" t="s">
        <v>4832</v>
      </c>
      <c r="F3065" s="4">
        <v>43808.867361111108</v>
      </c>
      <c r="G3065" s="3" t="s">
        <v>861</v>
      </c>
      <c r="H3065" s="3" t="s">
        <v>955</v>
      </c>
      <c r="I3065" s="3" t="s">
        <v>7043</v>
      </c>
      <c r="J3065" s="3"/>
      <c r="K3065" s="3"/>
      <c r="L3065" s="5"/>
    </row>
    <row r="3066" spans="1:12" ht="28.8" x14ac:dyDescent="0.55000000000000004">
      <c r="A3066" s="9" t="str">
        <f>HYPERLINK("PDF\FOIA-FWS-2020-00724-0003065.pdf","FOIA-FWS-2020-00724-0003065")</f>
        <v>FOIA-FWS-2020-00724-0003065</v>
      </c>
      <c r="B3066" s="3" t="s">
        <v>4831</v>
      </c>
      <c r="C3066" s="3" t="s">
        <v>234</v>
      </c>
      <c r="D3066" s="3" t="s">
        <v>38</v>
      </c>
      <c r="E3066" s="3" t="s">
        <v>4833</v>
      </c>
      <c r="F3066" s="4">
        <v>43808.867361111108</v>
      </c>
      <c r="G3066" s="3"/>
      <c r="H3066" s="3"/>
      <c r="I3066" s="3" t="s">
        <v>7043</v>
      </c>
      <c r="J3066" s="3"/>
      <c r="K3066" s="3"/>
      <c r="L3066" s="5"/>
    </row>
    <row r="3067" spans="1:12" ht="28.8" x14ac:dyDescent="0.55000000000000004">
      <c r="A3067" s="9" t="str">
        <f>HYPERLINK("PDF\FOIA-FWS-2020-00724-0003066.pdf","FOIA-FWS-2020-00724-0003066")</f>
        <v>FOIA-FWS-2020-00724-0003066</v>
      </c>
      <c r="B3067" s="3" t="s">
        <v>4834</v>
      </c>
      <c r="C3067" s="3" t="s">
        <v>3</v>
      </c>
      <c r="D3067" s="3" t="s">
        <v>33</v>
      </c>
      <c r="E3067" s="3" t="s">
        <v>4835</v>
      </c>
      <c r="F3067" s="4">
        <v>43809</v>
      </c>
      <c r="G3067" s="3"/>
      <c r="H3067" s="3"/>
      <c r="I3067" s="3" t="s">
        <v>7043</v>
      </c>
      <c r="J3067" s="3"/>
      <c r="K3067" s="3"/>
      <c r="L3067" s="5"/>
    </row>
    <row r="3068" spans="1:12" ht="28.8" x14ac:dyDescent="0.55000000000000004">
      <c r="A3068" s="9" t="str">
        <f>HYPERLINK("PDF\FOIA-FWS-2020-00724-0003067.pdf","FOIA-FWS-2020-00724-0003067")</f>
        <v>FOIA-FWS-2020-00724-0003067</v>
      </c>
      <c r="B3068" s="3" t="s">
        <v>4836</v>
      </c>
      <c r="C3068" s="3" t="s">
        <v>3</v>
      </c>
      <c r="D3068" s="3" t="s">
        <v>38</v>
      </c>
      <c r="E3068" s="3" t="s">
        <v>4837</v>
      </c>
      <c r="F3068" s="4">
        <v>43809</v>
      </c>
      <c r="G3068" s="3"/>
      <c r="H3068" s="3"/>
      <c r="I3068" s="3" t="s">
        <v>7043</v>
      </c>
      <c r="J3068" s="3"/>
      <c r="K3068" s="3"/>
      <c r="L3068" s="5"/>
    </row>
    <row r="3069" spans="1:12" ht="28.8" x14ac:dyDescent="0.55000000000000004">
      <c r="A3069" s="9" t="str">
        <f>HYPERLINK("PDF\FOIA-FWS-2020-00724-0003068.pdf","FOIA-FWS-2020-00724-0003068")</f>
        <v>FOIA-FWS-2020-00724-0003068</v>
      </c>
      <c r="B3069" s="3" t="s">
        <v>4838</v>
      </c>
      <c r="C3069" s="3" t="s">
        <v>3</v>
      </c>
      <c r="D3069" s="3" t="s">
        <v>38</v>
      </c>
      <c r="E3069" s="3" t="s">
        <v>4839</v>
      </c>
      <c r="F3069" s="4">
        <v>43809</v>
      </c>
      <c r="G3069" s="3"/>
      <c r="H3069" s="3"/>
      <c r="I3069" s="3" t="s">
        <v>7043</v>
      </c>
      <c r="J3069" s="3"/>
      <c r="K3069" s="3"/>
      <c r="L3069" s="5"/>
    </row>
    <row r="3070" spans="1:12" ht="28.8" x14ac:dyDescent="0.55000000000000004">
      <c r="A3070" s="9" t="str">
        <f>HYPERLINK("PDF\FOIA-FWS-2020-00724-0003069.pdf","FOIA-FWS-2020-00724-0003069")</f>
        <v>FOIA-FWS-2020-00724-0003069</v>
      </c>
      <c r="B3070" s="3" t="s">
        <v>4840</v>
      </c>
      <c r="C3070" s="3" t="s">
        <v>3</v>
      </c>
      <c r="D3070" s="3" t="s">
        <v>38</v>
      </c>
      <c r="E3070" s="3" t="s">
        <v>4841</v>
      </c>
      <c r="F3070" s="4">
        <v>43809</v>
      </c>
      <c r="G3070" s="3"/>
      <c r="H3070" s="3"/>
      <c r="I3070" s="3" t="s">
        <v>7043</v>
      </c>
      <c r="J3070" s="3"/>
      <c r="K3070" s="3"/>
      <c r="L3070" s="5"/>
    </row>
    <row r="3071" spans="1:12" ht="28.8" x14ac:dyDescent="0.55000000000000004">
      <c r="A3071" s="9" t="str">
        <f>HYPERLINK("PDF\FOIA-FWS-2020-00724-0003070.pdf","FOIA-FWS-2020-00724-0003070")</f>
        <v>FOIA-FWS-2020-00724-0003070</v>
      </c>
      <c r="B3071" s="3" t="s">
        <v>4842</v>
      </c>
      <c r="C3071" s="3" t="s">
        <v>3</v>
      </c>
      <c r="D3071" s="3" t="s">
        <v>38</v>
      </c>
      <c r="E3071" s="3" t="s">
        <v>4843</v>
      </c>
      <c r="F3071" s="4">
        <v>43809</v>
      </c>
      <c r="G3071" s="3"/>
      <c r="H3071" s="3"/>
      <c r="I3071" s="3" t="s">
        <v>7043</v>
      </c>
      <c r="J3071" s="3"/>
      <c r="K3071" s="3"/>
      <c r="L3071" s="5"/>
    </row>
    <row r="3072" spans="1:12" ht="28.8" x14ac:dyDescent="0.55000000000000004">
      <c r="A3072" s="9" t="str">
        <f>HYPERLINK("PDF\FOIA-FWS-2020-00724-0003071.pdf","FOIA-FWS-2020-00724-0003071")</f>
        <v>FOIA-FWS-2020-00724-0003071</v>
      </c>
      <c r="B3072" s="3" t="s">
        <v>4844</v>
      </c>
      <c r="C3072" s="3" t="s">
        <v>3</v>
      </c>
      <c r="D3072" s="3" t="s">
        <v>38</v>
      </c>
      <c r="E3072" s="3" t="s">
        <v>4845</v>
      </c>
      <c r="F3072" s="4">
        <v>43809</v>
      </c>
      <c r="G3072" s="3"/>
      <c r="H3072" s="3"/>
      <c r="I3072" s="3" t="s">
        <v>7043</v>
      </c>
      <c r="J3072" s="3"/>
      <c r="K3072" s="3"/>
      <c r="L3072" s="5"/>
    </row>
    <row r="3073" spans="1:12" ht="28.8" x14ac:dyDescent="0.55000000000000004">
      <c r="A3073" s="9" t="str">
        <f>HYPERLINK("PDF\FOIA-FWS-2020-00724-0003072.pdf","FOIA-FWS-2020-00724-0003072")</f>
        <v>FOIA-FWS-2020-00724-0003072</v>
      </c>
      <c r="B3073" s="3" t="s">
        <v>4846</v>
      </c>
      <c r="C3073" s="3" t="s">
        <v>3</v>
      </c>
      <c r="D3073" s="3" t="s">
        <v>38</v>
      </c>
      <c r="E3073" s="3" t="s">
        <v>4847</v>
      </c>
      <c r="F3073" s="4">
        <v>43809</v>
      </c>
      <c r="G3073" s="3"/>
      <c r="H3073" s="3"/>
      <c r="I3073" s="3" t="s">
        <v>7043</v>
      </c>
      <c r="J3073" s="3"/>
      <c r="K3073" s="3"/>
      <c r="L3073" s="5"/>
    </row>
    <row r="3074" spans="1:12" ht="28.8" x14ac:dyDescent="0.55000000000000004">
      <c r="A3074" s="9" t="str">
        <f>HYPERLINK("PDF\FOIA-FWS-2020-00724-0003073.pdf","FOIA-FWS-2020-00724-0003073")</f>
        <v>FOIA-FWS-2020-00724-0003073</v>
      </c>
      <c r="B3074" s="3" t="s">
        <v>4848</v>
      </c>
      <c r="C3074" s="3" t="s">
        <v>3</v>
      </c>
      <c r="D3074" s="3" t="s">
        <v>38</v>
      </c>
      <c r="E3074" s="3" t="s">
        <v>4849</v>
      </c>
      <c r="F3074" s="4">
        <v>43809</v>
      </c>
      <c r="G3074" s="3"/>
      <c r="H3074" s="3"/>
      <c r="I3074" s="3" t="s">
        <v>7043</v>
      </c>
      <c r="J3074" s="3"/>
      <c r="K3074" s="3"/>
      <c r="L3074" s="5"/>
    </row>
    <row r="3075" spans="1:12" ht="28.8" x14ac:dyDescent="0.55000000000000004">
      <c r="A3075" s="9" t="str">
        <f>HYPERLINK("PDF\FOIA-FWS-2020-00724-0003074.pdf","FOIA-FWS-2020-00724-0003074")</f>
        <v>FOIA-FWS-2020-00724-0003074</v>
      </c>
      <c r="B3075" s="3" t="s">
        <v>4850</v>
      </c>
      <c r="C3075" s="3" t="s">
        <v>3</v>
      </c>
      <c r="D3075" s="3" t="s">
        <v>38</v>
      </c>
      <c r="E3075" s="3" t="s">
        <v>4851</v>
      </c>
      <c r="F3075" s="4">
        <v>43809</v>
      </c>
      <c r="G3075" s="3"/>
      <c r="H3075" s="3"/>
      <c r="I3075" s="3" t="s">
        <v>7043</v>
      </c>
      <c r="J3075" s="3"/>
      <c r="K3075" s="3"/>
      <c r="L3075" s="5"/>
    </row>
    <row r="3076" spans="1:12" ht="28.8" x14ac:dyDescent="0.55000000000000004">
      <c r="A3076" s="9" t="str">
        <f>HYPERLINK("PDF\FOIA-FWS-2020-00724-0003075.pdf","FOIA-FWS-2020-00724-0003075")</f>
        <v>FOIA-FWS-2020-00724-0003075</v>
      </c>
      <c r="B3076" s="3" t="s">
        <v>4852</v>
      </c>
      <c r="C3076" s="3" t="s">
        <v>3</v>
      </c>
      <c r="D3076" s="3" t="s">
        <v>38</v>
      </c>
      <c r="E3076" s="3" t="s">
        <v>4853</v>
      </c>
      <c r="F3076" s="4">
        <v>43809</v>
      </c>
      <c r="G3076" s="3"/>
      <c r="H3076" s="3"/>
      <c r="I3076" s="3" t="s">
        <v>7043</v>
      </c>
      <c r="J3076" s="3"/>
      <c r="K3076" s="3"/>
      <c r="L3076" s="5"/>
    </row>
    <row r="3077" spans="1:12" ht="28.8" x14ac:dyDescent="0.55000000000000004">
      <c r="A3077" s="9" t="str">
        <f>HYPERLINK("PDF\FOIA-FWS-2020-00724-0003076.pdf","FOIA-FWS-2020-00724-0003076")</f>
        <v>FOIA-FWS-2020-00724-0003076</v>
      </c>
      <c r="B3077" s="3" t="s">
        <v>4854</v>
      </c>
      <c r="C3077" s="3" t="s">
        <v>3</v>
      </c>
      <c r="D3077" s="3" t="s">
        <v>38</v>
      </c>
      <c r="E3077" s="3" t="s">
        <v>4855</v>
      </c>
      <c r="F3077" s="4">
        <v>43809</v>
      </c>
      <c r="G3077" s="3"/>
      <c r="H3077" s="3"/>
      <c r="I3077" s="3" t="s">
        <v>7043</v>
      </c>
      <c r="J3077" s="3"/>
      <c r="K3077" s="3"/>
      <c r="L3077" s="5"/>
    </row>
    <row r="3078" spans="1:12" ht="28.8" x14ac:dyDescent="0.55000000000000004">
      <c r="A3078" s="9" t="str">
        <f>HYPERLINK("PDF\FOIA-FWS-2020-00724-0003077.pdf","FOIA-FWS-2020-00724-0003077")</f>
        <v>FOIA-FWS-2020-00724-0003077</v>
      </c>
      <c r="B3078" s="3" t="s">
        <v>4856</v>
      </c>
      <c r="C3078" s="3" t="s">
        <v>3</v>
      </c>
      <c r="D3078" s="3" t="s">
        <v>38</v>
      </c>
      <c r="E3078" s="3" t="s">
        <v>4857</v>
      </c>
      <c r="F3078" s="4">
        <v>43809</v>
      </c>
      <c r="G3078" s="3"/>
      <c r="H3078" s="3"/>
      <c r="I3078" s="3" t="s">
        <v>7043</v>
      </c>
      <c r="J3078" s="3"/>
      <c r="K3078" s="3"/>
      <c r="L3078" s="5"/>
    </row>
    <row r="3079" spans="1:12" ht="28.8" x14ac:dyDescent="0.55000000000000004">
      <c r="A3079" s="9" t="str">
        <f>HYPERLINK("PDF\FOIA-FWS-2020-00724-0003078.pdf","FOIA-FWS-2020-00724-0003078")</f>
        <v>FOIA-FWS-2020-00724-0003078</v>
      </c>
      <c r="B3079" s="3" t="s">
        <v>4858</v>
      </c>
      <c r="C3079" s="3" t="s">
        <v>3</v>
      </c>
      <c r="D3079" s="3" t="s">
        <v>38</v>
      </c>
      <c r="E3079" s="3" t="s">
        <v>4859</v>
      </c>
      <c r="F3079" s="4">
        <v>43809</v>
      </c>
      <c r="G3079" s="3"/>
      <c r="H3079" s="3"/>
      <c r="I3079" s="3" t="s">
        <v>7043</v>
      </c>
      <c r="J3079" s="3"/>
      <c r="K3079" s="3"/>
      <c r="L3079" s="5"/>
    </row>
    <row r="3080" spans="1:12" ht="28.8" x14ac:dyDescent="0.55000000000000004">
      <c r="A3080" s="9" t="str">
        <f>HYPERLINK("PDF\FOIA-FWS-2020-00724-0003079.pdf","FOIA-FWS-2020-00724-0003079")</f>
        <v>FOIA-FWS-2020-00724-0003079</v>
      </c>
      <c r="B3080" s="3" t="s">
        <v>4860</v>
      </c>
      <c r="C3080" s="3" t="s">
        <v>3</v>
      </c>
      <c r="D3080" s="3" t="s">
        <v>38</v>
      </c>
      <c r="E3080" s="3" t="s">
        <v>4861</v>
      </c>
      <c r="F3080" s="4">
        <v>43809</v>
      </c>
      <c r="G3080" s="3"/>
      <c r="H3080" s="3"/>
      <c r="I3080" s="3" t="s">
        <v>7043</v>
      </c>
      <c r="J3080" s="3"/>
      <c r="K3080" s="3"/>
      <c r="L3080" s="5"/>
    </row>
    <row r="3081" spans="1:12" ht="28.8" x14ac:dyDescent="0.55000000000000004">
      <c r="A3081" s="9" t="str">
        <f>HYPERLINK("PDF\FOIA-FWS-2020-00724-0003080.pdf","FOIA-FWS-2020-00724-0003080")</f>
        <v>FOIA-FWS-2020-00724-0003080</v>
      </c>
      <c r="B3081" s="3" t="s">
        <v>4862</v>
      </c>
      <c r="C3081" s="3" t="s">
        <v>3</v>
      </c>
      <c r="D3081" s="3" t="s">
        <v>38</v>
      </c>
      <c r="E3081" s="3" t="s">
        <v>4863</v>
      </c>
      <c r="F3081" s="4">
        <v>43809</v>
      </c>
      <c r="G3081" s="3"/>
      <c r="H3081" s="3"/>
      <c r="I3081" s="3" t="s">
        <v>7043</v>
      </c>
      <c r="J3081" s="3"/>
      <c r="K3081" s="3"/>
      <c r="L3081" s="5"/>
    </row>
    <row r="3082" spans="1:12" ht="28.8" x14ac:dyDescent="0.55000000000000004">
      <c r="A3082" s="9" t="str">
        <f>HYPERLINK("PDF\FOIA-FWS-2020-00724-0003081.pdf","FOIA-FWS-2020-00724-0003081")</f>
        <v>FOIA-FWS-2020-00724-0003081</v>
      </c>
      <c r="B3082" s="3" t="s">
        <v>4864</v>
      </c>
      <c r="C3082" s="3" t="s">
        <v>3</v>
      </c>
      <c r="D3082" s="3" t="s">
        <v>38</v>
      </c>
      <c r="E3082" s="3" t="s">
        <v>4865</v>
      </c>
      <c r="F3082" s="4">
        <v>43809</v>
      </c>
      <c r="G3082" s="3"/>
      <c r="H3082" s="3"/>
      <c r="I3082" s="3" t="s">
        <v>7043</v>
      </c>
      <c r="J3082" s="3"/>
      <c r="K3082" s="3"/>
      <c r="L3082" s="5"/>
    </row>
    <row r="3083" spans="1:12" ht="28.8" x14ac:dyDescent="0.55000000000000004">
      <c r="A3083" s="9" t="str">
        <f>HYPERLINK("PDF\FOIA-FWS-2020-00724-0003082.pdf","FOIA-FWS-2020-00724-0003082")</f>
        <v>FOIA-FWS-2020-00724-0003082</v>
      </c>
      <c r="B3083" s="3" t="s">
        <v>4866</v>
      </c>
      <c r="C3083" s="3" t="s">
        <v>3</v>
      </c>
      <c r="D3083" s="3" t="s">
        <v>38</v>
      </c>
      <c r="E3083" s="3" t="s">
        <v>4867</v>
      </c>
      <c r="F3083" s="4">
        <v>43809</v>
      </c>
      <c r="G3083" s="3"/>
      <c r="H3083" s="3"/>
      <c r="I3083" s="3" t="s">
        <v>7043</v>
      </c>
      <c r="J3083" s="3"/>
      <c r="K3083" s="3"/>
      <c r="L3083" s="5"/>
    </row>
    <row r="3084" spans="1:12" ht="28.8" x14ac:dyDescent="0.55000000000000004">
      <c r="A3084" s="9" t="str">
        <f>HYPERLINK("PDF\FOIA-FWS-2020-00724-0003083.pdf","FOIA-FWS-2020-00724-0003083")</f>
        <v>FOIA-FWS-2020-00724-0003083</v>
      </c>
      <c r="B3084" s="3" t="s">
        <v>4868</v>
      </c>
      <c r="C3084" s="3" t="s">
        <v>3</v>
      </c>
      <c r="D3084" s="3" t="s">
        <v>38</v>
      </c>
      <c r="E3084" s="3" t="s">
        <v>4869</v>
      </c>
      <c r="F3084" s="4">
        <v>43809</v>
      </c>
      <c r="G3084" s="3"/>
      <c r="H3084" s="3"/>
      <c r="I3084" s="3" t="s">
        <v>7043</v>
      </c>
      <c r="J3084" s="3"/>
      <c r="K3084" s="3"/>
      <c r="L3084" s="5"/>
    </row>
    <row r="3085" spans="1:12" ht="28.8" x14ac:dyDescent="0.55000000000000004">
      <c r="A3085" s="9" t="str">
        <f>HYPERLINK("PDF\FOIA-FWS-2020-00724-0003084.pdf","FOIA-FWS-2020-00724-0003084")</f>
        <v>FOIA-FWS-2020-00724-0003084</v>
      </c>
      <c r="B3085" s="3" t="s">
        <v>4870</v>
      </c>
      <c r="C3085" s="3" t="s">
        <v>3</v>
      </c>
      <c r="D3085" s="3" t="s">
        <v>38</v>
      </c>
      <c r="E3085" s="3" t="s">
        <v>4871</v>
      </c>
      <c r="F3085" s="4">
        <v>43809</v>
      </c>
      <c r="G3085" s="3"/>
      <c r="H3085" s="3"/>
      <c r="I3085" s="3" t="s">
        <v>7043</v>
      </c>
      <c r="J3085" s="3"/>
      <c r="K3085" s="3"/>
      <c r="L3085" s="5"/>
    </row>
    <row r="3086" spans="1:12" ht="28.8" x14ac:dyDescent="0.55000000000000004">
      <c r="A3086" s="9" t="str">
        <f>HYPERLINK("PDF\FOIA-FWS-2020-00724-0003085.pdf","FOIA-FWS-2020-00724-0003085")</f>
        <v>FOIA-FWS-2020-00724-0003085</v>
      </c>
      <c r="B3086" s="3" t="s">
        <v>4872</v>
      </c>
      <c r="C3086" s="3" t="s">
        <v>3</v>
      </c>
      <c r="D3086" s="3" t="s">
        <v>38</v>
      </c>
      <c r="E3086" s="3" t="s">
        <v>4873</v>
      </c>
      <c r="F3086" s="4">
        <v>43809</v>
      </c>
      <c r="G3086" s="3"/>
      <c r="H3086" s="3"/>
      <c r="I3086" s="3" t="s">
        <v>7043</v>
      </c>
      <c r="J3086" s="3"/>
      <c r="K3086" s="3"/>
      <c r="L3086" s="5"/>
    </row>
    <row r="3087" spans="1:12" ht="28.8" x14ac:dyDescent="0.55000000000000004">
      <c r="A3087" s="9" t="str">
        <f>HYPERLINK("PDF\FOIA-FWS-2020-00724-0003086.pdf","FOIA-FWS-2020-00724-0003086")</f>
        <v>FOIA-FWS-2020-00724-0003086</v>
      </c>
      <c r="B3087" s="3" t="s">
        <v>4874</v>
      </c>
      <c r="C3087" s="3" t="s">
        <v>3</v>
      </c>
      <c r="D3087" s="3" t="s">
        <v>38</v>
      </c>
      <c r="E3087" s="3" t="s">
        <v>4875</v>
      </c>
      <c r="F3087" s="4">
        <v>43809</v>
      </c>
      <c r="G3087" s="3"/>
      <c r="H3087" s="3"/>
      <c r="I3087" s="3" t="s">
        <v>7043</v>
      </c>
      <c r="J3087" s="3"/>
      <c r="K3087" s="3"/>
      <c r="L3087" s="5"/>
    </row>
    <row r="3088" spans="1:12" ht="28.8" x14ac:dyDescent="0.55000000000000004">
      <c r="A3088" s="9" t="str">
        <f>HYPERLINK("PDF\FOIA-FWS-2020-00724-0003087.pdf","FOIA-FWS-2020-00724-0003087")</f>
        <v>FOIA-FWS-2020-00724-0003087</v>
      </c>
      <c r="B3088" s="3" t="s">
        <v>4876</v>
      </c>
      <c r="C3088" s="3" t="s">
        <v>3</v>
      </c>
      <c r="D3088" s="3" t="s">
        <v>38</v>
      </c>
      <c r="E3088" s="3" t="s">
        <v>4877</v>
      </c>
      <c r="F3088" s="4">
        <v>43809</v>
      </c>
      <c r="G3088" s="3"/>
      <c r="H3088" s="3"/>
      <c r="I3088" s="3" t="s">
        <v>7043</v>
      </c>
      <c r="J3088" s="3"/>
      <c r="K3088" s="3"/>
      <c r="L3088" s="5"/>
    </row>
    <row r="3089" spans="1:12" ht="28.8" x14ac:dyDescent="0.55000000000000004">
      <c r="A3089" s="9" t="str">
        <f>HYPERLINK("PDF\FOIA-FWS-2020-00724-0003088.pdf","FOIA-FWS-2020-00724-0003088")</f>
        <v>FOIA-FWS-2020-00724-0003088</v>
      </c>
      <c r="B3089" s="3" t="s">
        <v>4878</v>
      </c>
      <c r="C3089" s="3" t="s">
        <v>3</v>
      </c>
      <c r="D3089" s="3" t="s">
        <v>160</v>
      </c>
      <c r="E3089" s="3" t="s">
        <v>4879</v>
      </c>
      <c r="F3089" s="4">
        <v>43809</v>
      </c>
      <c r="G3089" s="3"/>
      <c r="H3089" s="3"/>
      <c r="I3089" s="3" t="s">
        <v>7043</v>
      </c>
      <c r="J3089" s="3"/>
      <c r="K3089" s="3"/>
      <c r="L3089" s="5"/>
    </row>
    <row r="3090" spans="1:12" ht="28.8" x14ac:dyDescent="0.55000000000000004">
      <c r="A3090" s="9" t="str">
        <f>HYPERLINK("PDF\FOIA-FWS-2020-00724-0003089.pdf","FOIA-FWS-2020-00724-0003089")</f>
        <v>FOIA-FWS-2020-00724-0003089</v>
      </c>
      <c r="B3090" s="3" t="s">
        <v>4880</v>
      </c>
      <c r="C3090" s="3" t="s">
        <v>3</v>
      </c>
      <c r="D3090" s="3" t="s">
        <v>160</v>
      </c>
      <c r="E3090" s="3" t="s">
        <v>4881</v>
      </c>
      <c r="F3090" s="4">
        <v>43809</v>
      </c>
      <c r="G3090" s="3"/>
      <c r="H3090" s="3"/>
      <c r="I3090" s="3" t="s">
        <v>7043</v>
      </c>
      <c r="J3090" s="3"/>
      <c r="K3090" s="3"/>
      <c r="L3090" s="5"/>
    </row>
    <row r="3091" spans="1:12" ht="28.8" x14ac:dyDescent="0.55000000000000004">
      <c r="A3091" s="9" t="str">
        <f>HYPERLINK("PDF\FOIA-FWS-2020-00724-0003090.pdf","FOIA-FWS-2020-00724-0003090")</f>
        <v>FOIA-FWS-2020-00724-0003090</v>
      </c>
      <c r="B3091" s="3" t="s">
        <v>4882</v>
      </c>
      <c r="C3091" s="3" t="s">
        <v>3</v>
      </c>
      <c r="D3091" s="3" t="s">
        <v>33</v>
      </c>
      <c r="E3091" s="3" t="s">
        <v>4735</v>
      </c>
      <c r="F3091" s="4">
        <v>43809.452777777777</v>
      </c>
      <c r="G3091" s="3" t="s">
        <v>1617</v>
      </c>
      <c r="H3091" s="3" t="s">
        <v>876</v>
      </c>
      <c r="I3091" s="3" t="s">
        <v>7043</v>
      </c>
      <c r="J3091" s="3"/>
      <c r="K3091" s="3"/>
      <c r="L3091" s="5"/>
    </row>
    <row r="3092" spans="1:12" ht="28.8" x14ac:dyDescent="0.55000000000000004">
      <c r="A3092" s="9" t="str">
        <f>HYPERLINK("PDF\FOIA-FWS-2020-00724-0003091.pdf","FOIA-FWS-2020-00724-0003091")</f>
        <v>FOIA-FWS-2020-00724-0003091</v>
      </c>
      <c r="B3092" s="3" t="s">
        <v>4883</v>
      </c>
      <c r="C3092" s="3" t="s">
        <v>3</v>
      </c>
      <c r="D3092" s="3" t="s">
        <v>33</v>
      </c>
      <c r="E3092" s="3" t="s">
        <v>4885</v>
      </c>
      <c r="F3092" s="4">
        <v>43809.501388888886</v>
      </c>
      <c r="G3092" s="3" t="s">
        <v>4884</v>
      </c>
      <c r="H3092" s="3" t="s">
        <v>861</v>
      </c>
      <c r="I3092" s="3" t="s">
        <v>7043</v>
      </c>
      <c r="J3092" s="3"/>
      <c r="K3092" s="3"/>
      <c r="L3092" s="5"/>
    </row>
    <row r="3093" spans="1:12" ht="28.8" x14ac:dyDescent="0.55000000000000004">
      <c r="A3093" s="9" t="str">
        <f>HYPERLINK("PDF\FOIA-FWS-2020-00724-0003092.pdf","FOIA-FWS-2020-00724-0003092")</f>
        <v>FOIA-FWS-2020-00724-0003092</v>
      </c>
      <c r="B3093" s="3" t="s">
        <v>4883</v>
      </c>
      <c r="C3093" s="3" t="s">
        <v>234</v>
      </c>
      <c r="D3093" s="3" t="s">
        <v>38</v>
      </c>
      <c r="E3093" s="3" t="s">
        <v>4886</v>
      </c>
      <c r="F3093" s="4">
        <v>43809.501388888886</v>
      </c>
      <c r="G3093" s="3"/>
      <c r="H3093" s="3"/>
      <c r="I3093" s="3" t="s">
        <v>7043</v>
      </c>
      <c r="J3093" s="3"/>
      <c r="K3093" s="3"/>
      <c r="L3093" s="5"/>
    </row>
    <row r="3094" spans="1:12" ht="28.8" x14ac:dyDescent="0.55000000000000004">
      <c r="A3094" s="9" t="str">
        <f>HYPERLINK("PDF\FOIA-FWS-2020-00724-0003093.pdf","FOIA-FWS-2020-00724-0003093")</f>
        <v>FOIA-FWS-2020-00724-0003093</v>
      </c>
      <c r="B3094" s="3" t="s">
        <v>4887</v>
      </c>
      <c r="C3094" s="3" t="s">
        <v>3</v>
      </c>
      <c r="D3094" s="3" t="s">
        <v>33</v>
      </c>
      <c r="E3094" s="3" t="s">
        <v>4888</v>
      </c>
      <c r="F3094" s="4">
        <v>43809.563194444447</v>
      </c>
      <c r="G3094" s="3" t="s">
        <v>955</v>
      </c>
      <c r="H3094" s="3" t="s">
        <v>3754</v>
      </c>
      <c r="I3094" s="3" t="s">
        <v>7043</v>
      </c>
      <c r="J3094" s="3"/>
      <c r="K3094" s="3"/>
      <c r="L3094" s="5"/>
    </row>
    <row r="3095" spans="1:12" ht="28.8" x14ac:dyDescent="0.55000000000000004">
      <c r="A3095" s="9" t="str">
        <f>HYPERLINK("PDF\FOIA-FWS-2020-00724-0003094.pdf","FOIA-FWS-2020-00724-0003094")</f>
        <v>FOIA-FWS-2020-00724-0003094</v>
      </c>
      <c r="B3095" s="3" t="s">
        <v>4887</v>
      </c>
      <c r="C3095" s="3" t="s">
        <v>234</v>
      </c>
      <c r="D3095" s="3" t="s">
        <v>38</v>
      </c>
      <c r="E3095" s="3" t="s">
        <v>4822</v>
      </c>
      <c r="F3095" s="4">
        <v>43809.563194444447</v>
      </c>
      <c r="G3095" s="3"/>
      <c r="H3095" s="3"/>
      <c r="I3095" s="3" t="s">
        <v>7043</v>
      </c>
      <c r="J3095" s="3"/>
      <c r="K3095" s="3"/>
      <c r="L3095" s="5"/>
    </row>
    <row r="3096" spans="1:12" ht="43.2" x14ac:dyDescent="0.55000000000000004">
      <c r="A3096" s="9" t="str">
        <f>HYPERLINK("PDF\FOIA-FWS-2020-00724-0003095.pdf","FOIA-FWS-2020-00724-0003095")</f>
        <v>FOIA-FWS-2020-00724-0003095</v>
      </c>
      <c r="B3096" s="3" t="s">
        <v>4889</v>
      </c>
      <c r="C3096" s="3" t="s">
        <v>3</v>
      </c>
      <c r="D3096" s="3" t="s">
        <v>33</v>
      </c>
      <c r="E3096" s="3" t="s">
        <v>4891</v>
      </c>
      <c r="F3096" s="4">
        <v>43809.60833333333</v>
      </c>
      <c r="G3096" s="3" t="s">
        <v>1719</v>
      </c>
      <c r="H3096" s="3" t="s">
        <v>4890</v>
      </c>
      <c r="I3096" s="3" t="s">
        <v>7043</v>
      </c>
      <c r="J3096" s="3"/>
      <c r="K3096" s="3"/>
      <c r="L3096" s="5"/>
    </row>
    <row r="3097" spans="1:12" ht="28.8" x14ac:dyDescent="0.55000000000000004">
      <c r="A3097" s="9" t="str">
        <f>HYPERLINK("PDF\FOIA-FWS-2020-00724-0003096.pdf","FOIA-FWS-2020-00724-0003096")</f>
        <v>FOIA-FWS-2020-00724-0003096</v>
      </c>
      <c r="B3097" s="3" t="s">
        <v>4889</v>
      </c>
      <c r="C3097" s="3" t="s">
        <v>234</v>
      </c>
      <c r="D3097" s="3" t="s">
        <v>33</v>
      </c>
      <c r="E3097" s="3" t="s">
        <v>4892</v>
      </c>
      <c r="F3097" s="4">
        <v>43809.60833333333</v>
      </c>
      <c r="G3097" s="3"/>
      <c r="H3097" s="3"/>
      <c r="I3097" s="3" t="s">
        <v>7043</v>
      </c>
      <c r="J3097" s="3"/>
      <c r="K3097" s="3"/>
      <c r="L3097" s="5"/>
    </row>
    <row r="3098" spans="1:12" ht="28.8" x14ac:dyDescent="0.55000000000000004">
      <c r="A3098" s="9" t="str">
        <f>HYPERLINK("PDF\FOIA-FWS-2020-00724-0003097.pdf","FOIA-FWS-2020-00724-0003097")</f>
        <v>FOIA-FWS-2020-00724-0003097</v>
      </c>
      <c r="B3098" s="3" t="s">
        <v>4893</v>
      </c>
      <c r="C3098" s="3" t="s">
        <v>3</v>
      </c>
      <c r="D3098" s="3" t="s">
        <v>33</v>
      </c>
      <c r="E3098" s="3" t="s">
        <v>4895</v>
      </c>
      <c r="F3098" s="4">
        <v>43809.61041666667</v>
      </c>
      <c r="G3098" s="3" t="s">
        <v>1719</v>
      </c>
      <c r="H3098" s="3" t="s">
        <v>4894</v>
      </c>
      <c r="I3098" s="3" t="s">
        <v>7043</v>
      </c>
      <c r="J3098" s="3"/>
      <c r="K3098" s="3"/>
      <c r="L3098" s="5"/>
    </row>
    <row r="3099" spans="1:12" ht="28.8" x14ac:dyDescent="0.55000000000000004">
      <c r="A3099" s="9" t="str">
        <f>HYPERLINK("PDF\FOIA-FWS-2020-00724-0003098.pdf","FOIA-FWS-2020-00724-0003098")</f>
        <v>FOIA-FWS-2020-00724-0003098</v>
      </c>
      <c r="B3099" s="3" t="s">
        <v>4893</v>
      </c>
      <c r="C3099" s="3" t="s">
        <v>234</v>
      </c>
      <c r="D3099" s="3" t="s">
        <v>33</v>
      </c>
      <c r="E3099" s="3" t="s">
        <v>4896</v>
      </c>
      <c r="F3099" s="4">
        <v>43809.61041666667</v>
      </c>
      <c r="G3099" s="3"/>
      <c r="H3099" s="3"/>
      <c r="I3099" s="3" t="s">
        <v>7043</v>
      </c>
      <c r="J3099" s="3"/>
      <c r="K3099" s="3"/>
      <c r="L3099" s="5"/>
    </row>
    <row r="3100" spans="1:12" ht="57.6" x14ac:dyDescent="0.55000000000000004">
      <c r="A3100" s="9" t="str">
        <f>HYPERLINK("PDF\FOIA-FWS-2020-00724-0003099.pdf","FOIA-FWS-2020-00724-0003099")</f>
        <v>FOIA-FWS-2020-00724-0003099</v>
      </c>
      <c r="B3100" s="3" t="s">
        <v>4897</v>
      </c>
      <c r="C3100" s="3" t="s">
        <v>3</v>
      </c>
      <c r="D3100" s="3" t="s">
        <v>33</v>
      </c>
      <c r="E3100" s="3" t="s">
        <v>4898</v>
      </c>
      <c r="F3100" s="4">
        <v>43809.73333333333</v>
      </c>
      <c r="G3100" s="3" t="s">
        <v>3754</v>
      </c>
      <c r="H3100" s="3" t="s">
        <v>872</v>
      </c>
      <c r="I3100" s="3" t="s">
        <v>7043</v>
      </c>
      <c r="J3100" s="3"/>
      <c r="K3100" s="3"/>
      <c r="L3100" s="5"/>
    </row>
    <row r="3101" spans="1:12" ht="100.8" x14ac:dyDescent="0.55000000000000004">
      <c r="A3101" s="9" t="str">
        <f>HYPERLINK("PDF\FOIA-FWS-2020-00724-0003100.pdf","FOIA-FWS-2020-00724-0003100")</f>
        <v>FOIA-FWS-2020-00724-0003100</v>
      </c>
      <c r="B3101" s="3" t="s">
        <v>4899</v>
      </c>
      <c r="C3101" s="3" t="s">
        <v>3</v>
      </c>
      <c r="D3101" s="3" t="s">
        <v>33</v>
      </c>
      <c r="E3101" s="3" t="s">
        <v>4900</v>
      </c>
      <c r="F3101" s="4">
        <v>43810.38958333333</v>
      </c>
      <c r="G3101" s="3" t="s">
        <v>4807</v>
      </c>
      <c r="H3101" s="3" t="s">
        <v>3754</v>
      </c>
      <c r="I3101" s="3" t="s">
        <v>7043</v>
      </c>
      <c r="J3101" s="3"/>
      <c r="K3101" s="3"/>
      <c r="L3101" s="5"/>
    </row>
    <row r="3102" spans="1:12" ht="28.8" x14ac:dyDescent="0.55000000000000004">
      <c r="A3102" s="9" t="str">
        <f>HYPERLINK("PDF\FOIA-FWS-2020-00724-0003101.pdf","FOIA-FWS-2020-00724-0003101")</f>
        <v>FOIA-FWS-2020-00724-0003101</v>
      </c>
      <c r="B3102" s="3" t="s">
        <v>4901</v>
      </c>
      <c r="C3102" s="3" t="s">
        <v>3</v>
      </c>
      <c r="D3102" s="3" t="s">
        <v>33</v>
      </c>
      <c r="E3102" s="3" t="s">
        <v>4903</v>
      </c>
      <c r="F3102" s="4">
        <v>43810.443055555559</v>
      </c>
      <c r="G3102" s="3" t="s">
        <v>1617</v>
      </c>
      <c r="H3102" s="3" t="s">
        <v>4902</v>
      </c>
      <c r="I3102" s="3" t="s">
        <v>7043</v>
      </c>
      <c r="J3102" s="3"/>
      <c r="K3102" s="3"/>
      <c r="L3102" s="5"/>
    </row>
    <row r="3103" spans="1:12" ht="28.8" x14ac:dyDescent="0.55000000000000004">
      <c r="A3103" s="9" t="str">
        <f>HYPERLINK("PDF\FOIA-FWS-2020-00724-0003102.pdf","FOIA-FWS-2020-00724-0003102")</f>
        <v>FOIA-FWS-2020-00724-0003102</v>
      </c>
      <c r="B3103" s="3" t="s">
        <v>4904</v>
      </c>
      <c r="C3103" s="3" t="s">
        <v>3</v>
      </c>
      <c r="D3103" s="3" t="s">
        <v>33</v>
      </c>
      <c r="E3103" s="3" t="s">
        <v>4905</v>
      </c>
      <c r="F3103" s="4">
        <v>43810.493750000001</v>
      </c>
      <c r="G3103" s="3" t="s">
        <v>872</v>
      </c>
      <c r="H3103" s="3" t="s">
        <v>1135</v>
      </c>
      <c r="I3103" s="3" t="s">
        <v>7043</v>
      </c>
      <c r="J3103" s="3"/>
      <c r="K3103" s="3"/>
      <c r="L3103" s="5"/>
    </row>
    <row r="3104" spans="1:12" ht="28.8" x14ac:dyDescent="0.55000000000000004">
      <c r="A3104" s="9" t="str">
        <f>HYPERLINK("PDF\FOIA-FWS-2020-00724-0003103.pdf","FOIA-FWS-2020-00724-0003103")</f>
        <v>FOIA-FWS-2020-00724-0003103</v>
      </c>
      <c r="B3104" s="3" t="s">
        <v>4906</v>
      </c>
      <c r="C3104" s="3" t="s">
        <v>3</v>
      </c>
      <c r="D3104" s="3" t="s">
        <v>33</v>
      </c>
      <c r="E3104" s="3" t="s">
        <v>4905</v>
      </c>
      <c r="F3104" s="4">
        <v>43810.5</v>
      </c>
      <c r="G3104" s="3" t="s">
        <v>955</v>
      </c>
      <c r="H3104" s="3" t="s">
        <v>872</v>
      </c>
      <c r="I3104" s="3" t="s">
        <v>7043</v>
      </c>
      <c r="J3104" s="3"/>
      <c r="K3104" s="3"/>
      <c r="L3104" s="5"/>
    </row>
    <row r="3105" spans="1:12" ht="28.8" x14ac:dyDescent="0.55000000000000004">
      <c r="A3105" s="9" t="str">
        <f>HYPERLINK("PDF\FOIA-FWS-2020-00724-0003104.pdf","FOIA-FWS-2020-00724-0003104")</f>
        <v>FOIA-FWS-2020-00724-0003104</v>
      </c>
      <c r="B3105" s="3" t="s">
        <v>4907</v>
      </c>
      <c r="C3105" s="3" t="s">
        <v>3</v>
      </c>
      <c r="D3105" s="3" t="s">
        <v>33</v>
      </c>
      <c r="E3105" s="3" t="s">
        <v>4909</v>
      </c>
      <c r="F3105" s="4">
        <v>43810.609027777777</v>
      </c>
      <c r="G3105" s="3" t="s">
        <v>919</v>
      </c>
      <c r="H3105" s="3" t="s">
        <v>4908</v>
      </c>
      <c r="I3105" s="3" t="s">
        <v>7043</v>
      </c>
      <c r="J3105" s="3"/>
      <c r="K3105" s="3"/>
      <c r="L3105" s="5"/>
    </row>
    <row r="3106" spans="1:12" ht="28.8" x14ac:dyDescent="0.55000000000000004">
      <c r="A3106" s="9" t="str">
        <f>HYPERLINK("PDF\FOIA-FWS-2020-00724-0003105.pdf","FOIA-FWS-2020-00724-0003105")</f>
        <v>FOIA-FWS-2020-00724-0003105</v>
      </c>
      <c r="B3106" s="3" t="s">
        <v>4910</v>
      </c>
      <c r="C3106" s="3" t="s">
        <v>3</v>
      </c>
      <c r="D3106" s="3" t="s">
        <v>33</v>
      </c>
      <c r="E3106" s="3" t="s">
        <v>4911</v>
      </c>
      <c r="F3106" s="4">
        <v>43810.720833333333</v>
      </c>
      <c r="G3106" s="3" t="s">
        <v>1392</v>
      </c>
      <c r="H3106" s="3" t="s">
        <v>872</v>
      </c>
      <c r="I3106" s="3" t="s">
        <v>7043</v>
      </c>
      <c r="J3106" s="3"/>
      <c r="K3106" s="3"/>
      <c r="L3106" s="5"/>
    </row>
    <row r="3107" spans="1:12" ht="201.6" x14ac:dyDescent="0.55000000000000004">
      <c r="A3107" s="9" t="str">
        <f>HYPERLINK("PDF\FOIA-FWS-2020-00724-0003106.pdf","FOIA-FWS-2020-00724-0003106")</f>
        <v>FOIA-FWS-2020-00724-0003106</v>
      </c>
      <c r="B3107" s="3" t="s">
        <v>4912</v>
      </c>
      <c r="C3107" s="3" t="s">
        <v>3</v>
      </c>
      <c r="D3107" s="3" t="s">
        <v>33</v>
      </c>
      <c r="E3107" s="3" t="s">
        <v>4914</v>
      </c>
      <c r="F3107" s="4">
        <v>43810.745833333334</v>
      </c>
      <c r="G3107" s="3" t="s">
        <v>872</v>
      </c>
      <c r="H3107" s="3" t="s">
        <v>4913</v>
      </c>
      <c r="I3107" s="3" t="s">
        <v>7043</v>
      </c>
      <c r="J3107" s="3"/>
      <c r="K3107" s="3"/>
      <c r="L3107" s="5"/>
    </row>
    <row r="3108" spans="1:12" ht="28.8" x14ac:dyDescent="0.55000000000000004">
      <c r="A3108" s="9" t="str">
        <f>HYPERLINK("PDF\FOIA-FWS-2020-00724-0003107.pdf","FOIA-FWS-2020-00724-0003107")</f>
        <v>FOIA-FWS-2020-00724-0003107</v>
      </c>
      <c r="B3108" s="3" t="s">
        <v>4915</v>
      </c>
      <c r="C3108" s="3" t="s">
        <v>3</v>
      </c>
      <c r="D3108" s="3" t="s">
        <v>33</v>
      </c>
      <c r="E3108" s="3" t="s">
        <v>4916</v>
      </c>
      <c r="F3108" s="4">
        <v>43810.757638888892</v>
      </c>
      <c r="G3108" s="3" t="s">
        <v>1489</v>
      </c>
      <c r="H3108" s="3" t="s">
        <v>1119</v>
      </c>
      <c r="I3108" s="3" t="s">
        <v>7043</v>
      </c>
      <c r="J3108" s="3"/>
      <c r="K3108" s="3"/>
      <c r="L3108" s="5"/>
    </row>
    <row r="3109" spans="1:12" ht="28.8" x14ac:dyDescent="0.55000000000000004">
      <c r="A3109" s="9" t="str">
        <f>HYPERLINK("PDF\FOIA-FWS-2020-00724-0003108.pdf","FOIA-FWS-2020-00724-0003108")</f>
        <v>FOIA-FWS-2020-00724-0003108</v>
      </c>
      <c r="B3109" s="3" t="s">
        <v>4915</v>
      </c>
      <c r="C3109" s="3" t="s">
        <v>234</v>
      </c>
      <c r="D3109" s="3" t="s">
        <v>33</v>
      </c>
      <c r="E3109" s="3" t="s">
        <v>4714</v>
      </c>
      <c r="F3109" s="4">
        <v>43810.757638888892</v>
      </c>
      <c r="G3109" s="3"/>
      <c r="H3109" s="3"/>
      <c r="I3109" s="3" t="s">
        <v>7043</v>
      </c>
      <c r="J3109" s="3"/>
      <c r="K3109" s="3"/>
      <c r="L3109" s="5"/>
    </row>
    <row r="3110" spans="1:12" ht="28.8" x14ac:dyDescent="0.55000000000000004">
      <c r="A3110" s="9" t="str">
        <f>HYPERLINK("PDF\FOIA-FWS-2020-00724-0003109.pdf","FOIA-FWS-2020-00724-0003109")</f>
        <v>FOIA-FWS-2020-00724-0003109</v>
      </c>
      <c r="B3110" s="3" t="s">
        <v>4915</v>
      </c>
      <c r="C3110" s="3" t="s">
        <v>234</v>
      </c>
      <c r="D3110" s="3" t="s">
        <v>33</v>
      </c>
      <c r="E3110" s="3" t="s">
        <v>4715</v>
      </c>
      <c r="F3110" s="4">
        <v>43810.757638888892</v>
      </c>
      <c r="G3110" s="3"/>
      <c r="H3110" s="3"/>
      <c r="I3110" s="3" t="s">
        <v>7043</v>
      </c>
      <c r="J3110" s="3"/>
      <c r="K3110" s="3"/>
      <c r="L3110" s="5"/>
    </row>
    <row r="3111" spans="1:12" ht="28.8" x14ac:dyDescent="0.55000000000000004">
      <c r="A3111" s="9" t="str">
        <f>HYPERLINK("PDF\FOIA-FWS-2020-00724-0003110.pdf","FOIA-FWS-2020-00724-0003110")</f>
        <v>FOIA-FWS-2020-00724-0003110</v>
      </c>
      <c r="B3111" s="3" t="s">
        <v>4915</v>
      </c>
      <c r="C3111" s="3" t="s">
        <v>234</v>
      </c>
      <c r="D3111" s="3" t="s">
        <v>33</v>
      </c>
      <c r="E3111" s="3" t="s">
        <v>4716</v>
      </c>
      <c r="F3111" s="4">
        <v>43810.757638888892</v>
      </c>
      <c r="G3111" s="3"/>
      <c r="H3111" s="3"/>
      <c r="I3111" s="3" t="s">
        <v>7043</v>
      </c>
      <c r="J3111" s="3"/>
      <c r="K3111" s="3"/>
      <c r="L3111" s="5"/>
    </row>
    <row r="3112" spans="1:12" ht="28.8" x14ac:dyDescent="0.55000000000000004">
      <c r="A3112" s="9" t="str">
        <f>HYPERLINK("PDF\FOIA-FWS-2020-00724-0003111.PDF","FOIA-FWS-2020-00724-0003111")</f>
        <v>FOIA-FWS-2020-00724-0003111</v>
      </c>
      <c r="B3112" s="3" t="s">
        <v>4915</v>
      </c>
      <c r="C3112" s="3" t="s">
        <v>234</v>
      </c>
      <c r="D3112" s="3" t="s">
        <v>33</v>
      </c>
      <c r="E3112" s="3" t="s">
        <v>4717</v>
      </c>
      <c r="F3112" s="4">
        <v>43810.757638888892</v>
      </c>
      <c r="G3112" s="3"/>
      <c r="H3112" s="3"/>
      <c r="I3112" s="3" t="s">
        <v>7043</v>
      </c>
      <c r="J3112" s="3"/>
      <c r="K3112" s="3"/>
      <c r="L3112" s="5"/>
    </row>
    <row r="3113" spans="1:12" ht="28.8" x14ac:dyDescent="0.55000000000000004">
      <c r="A3113" s="9" t="str">
        <f>HYPERLINK("PDF\FOIA-FWS-2020-00724-0003112.pdf","FOIA-FWS-2020-00724-0003112")</f>
        <v>FOIA-FWS-2020-00724-0003112</v>
      </c>
      <c r="B3113" s="3" t="s">
        <v>4915</v>
      </c>
      <c r="C3113" s="3" t="s">
        <v>234</v>
      </c>
      <c r="D3113" s="3" t="s">
        <v>33</v>
      </c>
      <c r="E3113" s="3" t="s">
        <v>4718</v>
      </c>
      <c r="F3113" s="4">
        <v>43810.757638888892</v>
      </c>
      <c r="G3113" s="3"/>
      <c r="H3113" s="3"/>
      <c r="I3113" s="3" t="s">
        <v>7043</v>
      </c>
      <c r="J3113" s="3"/>
      <c r="K3113" s="3"/>
      <c r="L3113" s="5"/>
    </row>
    <row r="3114" spans="1:12" ht="28.8" x14ac:dyDescent="0.55000000000000004">
      <c r="A3114" s="9" t="str">
        <f>HYPERLINK("PDF\FOIA-FWS-2020-00724-0003113.pdf","FOIA-FWS-2020-00724-0003113")</f>
        <v>FOIA-FWS-2020-00724-0003113</v>
      </c>
      <c r="B3114" s="3" t="s">
        <v>4915</v>
      </c>
      <c r="C3114" s="3" t="s">
        <v>234</v>
      </c>
      <c r="D3114" s="3" t="s">
        <v>33</v>
      </c>
      <c r="E3114" s="3" t="s">
        <v>4719</v>
      </c>
      <c r="F3114" s="4">
        <v>43810.757638888892</v>
      </c>
      <c r="G3114" s="3"/>
      <c r="H3114" s="3"/>
      <c r="I3114" s="3" t="s">
        <v>7043</v>
      </c>
      <c r="J3114" s="3"/>
      <c r="K3114" s="3"/>
      <c r="L3114" s="5"/>
    </row>
    <row r="3115" spans="1:12" ht="28.8" x14ac:dyDescent="0.55000000000000004">
      <c r="A3115" s="9" t="str">
        <f>HYPERLINK("PDF\FOIA-FWS-2020-00724-0003114.pdf","FOIA-FWS-2020-00724-0003114")</f>
        <v>FOIA-FWS-2020-00724-0003114</v>
      </c>
      <c r="B3115" s="3" t="s">
        <v>4915</v>
      </c>
      <c r="C3115" s="3" t="s">
        <v>234</v>
      </c>
      <c r="D3115" s="3" t="s">
        <v>33</v>
      </c>
      <c r="E3115" s="3" t="s">
        <v>4720</v>
      </c>
      <c r="F3115" s="4">
        <v>43810.757638888892</v>
      </c>
      <c r="G3115" s="3"/>
      <c r="H3115" s="3"/>
      <c r="I3115" s="3" t="s">
        <v>7043</v>
      </c>
      <c r="J3115" s="3"/>
      <c r="K3115" s="3"/>
      <c r="L3115" s="5"/>
    </row>
    <row r="3116" spans="1:12" ht="28.8" x14ac:dyDescent="0.55000000000000004">
      <c r="A3116" s="9" t="str">
        <f>HYPERLINK("PDF\FOIA-FWS-2020-00724-0003115.PDF","FOIA-FWS-2020-00724-0003115")</f>
        <v>FOIA-FWS-2020-00724-0003115</v>
      </c>
      <c r="B3116" s="3" t="s">
        <v>4915</v>
      </c>
      <c r="C3116" s="3" t="s">
        <v>234</v>
      </c>
      <c r="D3116" s="3" t="s">
        <v>33</v>
      </c>
      <c r="E3116" s="3" t="s">
        <v>4721</v>
      </c>
      <c r="F3116" s="4">
        <v>43810.757638888892</v>
      </c>
      <c r="G3116" s="3"/>
      <c r="H3116" s="3"/>
      <c r="I3116" s="3" t="s">
        <v>7043</v>
      </c>
      <c r="J3116" s="3"/>
      <c r="K3116" s="3"/>
      <c r="L3116" s="5"/>
    </row>
    <row r="3117" spans="1:12" ht="72" x14ac:dyDescent="0.55000000000000004">
      <c r="A3117" s="9" t="str">
        <f>HYPERLINK("PDF\FOIA-FWS-2020-00724-0003116.pdf","FOIA-FWS-2020-00724-0003116")</f>
        <v>FOIA-FWS-2020-00724-0003116</v>
      </c>
      <c r="B3117" s="3" t="s">
        <v>4917</v>
      </c>
      <c r="C3117" s="3" t="s">
        <v>3</v>
      </c>
      <c r="D3117" s="3" t="s">
        <v>33</v>
      </c>
      <c r="E3117" s="3" t="s">
        <v>4918</v>
      </c>
      <c r="F3117" s="4">
        <v>43810.768750000003</v>
      </c>
      <c r="G3117" s="3" t="s">
        <v>872</v>
      </c>
      <c r="H3117" s="3" t="s">
        <v>3754</v>
      </c>
      <c r="I3117" s="3" t="s">
        <v>7043</v>
      </c>
      <c r="J3117" s="3"/>
      <c r="K3117" s="3"/>
      <c r="L3117" s="5"/>
    </row>
    <row r="3118" spans="1:12" ht="28.8" x14ac:dyDescent="0.55000000000000004">
      <c r="A3118" s="9" t="str">
        <f>HYPERLINK("PDF\FOIA-FWS-2020-00724-0003117.pdf","FOIA-FWS-2020-00724-0003117")</f>
        <v>FOIA-FWS-2020-00724-0003117</v>
      </c>
      <c r="B3118" s="3" t="s">
        <v>4919</v>
      </c>
      <c r="C3118" s="3" t="s">
        <v>3</v>
      </c>
      <c r="D3118" s="3" t="s">
        <v>33</v>
      </c>
      <c r="E3118" s="3" t="s">
        <v>4920</v>
      </c>
      <c r="F3118" s="4">
        <v>43810.810416666667</v>
      </c>
      <c r="G3118" s="3" t="s">
        <v>1489</v>
      </c>
      <c r="H3118" s="3" t="s">
        <v>1119</v>
      </c>
      <c r="I3118" s="3" t="s">
        <v>7043</v>
      </c>
      <c r="J3118" s="3"/>
      <c r="K3118" s="3"/>
      <c r="L3118" s="5"/>
    </row>
    <row r="3119" spans="1:12" ht="28.8" x14ac:dyDescent="0.55000000000000004">
      <c r="A3119" s="9" t="str">
        <f>HYPERLINK("PDF\FOIA-FWS-2020-00724-0003118.pdf","FOIA-FWS-2020-00724-0003118")</f>
        <v>FOIA-FWS-2020-00724-0003118</v>
      </c>
      <c r="B3119" s="3" t="s">
        <v>4921</v>
      </c>
      <c r="C3119" s="3" t="s">
        <v>3</v>
      </c>
      <c r="D3119" s="3" t="s">
        <v>33</v>
      </c>
      <c r="E3119" s="3" t="s">
        <v>4922</v>
      </c>
      <c r="F3119" s="4">
        <v>43810.835416666669</v>
      </c>
      <c r="G3119" s="3" t="s">
        <v>3754</v>
      </c>
      <c r="H3119" s="3" t="s">
        <v>963</v>
      </c>
      <c r="I3119" s="3" t="s">
        <v>7043</v>
      </c>
      <c r="J3119" s="3"/>
      <c r="K3119" s="3"/>
      <c r="L3119" s="5"/>
    </row>
    <row r="3120" spans="1:12" ht="28.8" x14ac:dyDescent="0.55000000000000004">
      <c r="A3120" s="9" t="str">
        <f>HYPERLINK("PDF\FOIA-FWS-2020-00724-0003119.pdf","FOIA-FWS-2020-00724-0003119")</f>
        <v>FOIA-FWS-2020-00724-0003119</v>
      </c>
      <c r="B3120" s="3" t="s">
        <v>4923</v>
      </c>
      <c r="C3120" s="3" t="s">
        <v>3</v>
      </c>
      <c r="D3120" s="3" t="s">
        <v>33</v>
      </c>
      <c r="E3120" s="3" t="s">
        <v>4924</v>
      </c>
      <c r="F3120" s="4">
        <v>43811</v>
      </c>
      <c r="G3120" s="3"/>
      <c r="H3120" s="3"/>
      <c r="I3120" s="3" t="s">
        <v>7043</v>
      </c>
      <c r="J3120" s="3"/>
      <c r="K3120" s="3"/>
      <c r="L3120" s="5"/>
    </row>
    <row r="3121" spans="1:12" ht="28.8" x14ac:dyDescent="0.55000000000000004">
      <c r="A3121" s="9" t="str">
        <f>HYPERLINK("PDF\FOIA-FWS-2020-00724-0003120.pdf","FOIA-FWS-2020-00724-0003120")</f>
        <v>FOIA-FWS-2020-00724-0003120</v>
      </c>
      <c r="B3121" s="3" t="s">
        <v>4925</v>
      </c>
      <c r="C3121" s="3" t="s">
        <v>3</v>
      </c>
      <c r="D3121" s="3" t="s">
        <v>4</v>
      </c>
      <c r="E3121" s="3" t="s">
        <v>4926</v>
      </c>
      <c r="F3121" s="4">
        <v>43811</v>
      </c>
      <c r="G3121" s="3"/>
      <c r="H3121" s="3"/>
      <c r="I3121" s="3" t="s">
        <v>7043</v>
      </c>
      <c r="J3121" s="3"/>
      <c r="K3121" s="3"/>
      <c r="L3121" s="5"/>
    </row>
    <row r="3122" spans="1:12" ht="28.8" x14ac:dyDescent="0.55000000000000004">
      <c r="A3122" s="9" t="str">
        <f>HYPERLINK("PDF\FOIA-FWS-2020-00724-0003121.pdf","FOIA-FWS-2020-00724-0003121")</f>
        <v>FOIA-FWS-2020-00724-0003121</v>
      </c>
      <c r="B3122" s="3" t="s">
        <v>4927</v>
      </c>
      <c r="C3122" s="3" t="s">
        <v>3</v>
      </c>
      <c r="D3122" s="3" t="s">
        <v>33</v>
      </c>
      <c r="E3122" s="3" t="s">
        <v>4928</v>
      </c>
      <c r="F3122" s="4">
        <v>43811.712500000001</v>
      </c>
      <c r="G3122" s="3" t="s">
        <v>955</v>
      </c>
      <c r="H3122" s="3" t="s">
        <v>919</v>
      </c>
      <c r="I3122" s="3" t="s">
        <v>7043</v>
      </c>
      <c r="J3122" s="3"/>
      <c r="K3122" s="3"/>
      <c r="L3122" s="5"/>
    </row>
    <row r="3123" spans="1:12" ht="57.6" x14ac:dyDescent="0.55000000000000004">
      <c r="A3123" s="9" t="str">
        <f>HYPERLINK("PDF\FOIA-FWS-2020-00724-0003122.pdf","FOIA-FWS-2020-00724-0003122")</f>
        <v>FOIA-FWS-2020-00724-0003122</v>
      </c>
      <c r="B3123" s="3" t="s">
        <v>4929</v>
      </c>
      <c r="C3123" s="3" t="s">
        <v>3</v>
      </c>
      <c r="D3123" s="3" t="s">
        <v>33</v>
      </c>
      <c r="E3123" s="3" t="s">
        <v>4931</v>
      </c>
      <c r="F3123" s="4">
        <v>43812.463888888888</v>
      </c>
      <c r="G3123" s="3" t="s">
        <v>872</v>
      </c>
      <c r="H3123" s="3" t="s">
        <v>4930</v>
      </c>
      <c r="I3123" s="3" t="s">
        <v>7043</v>
      </c>
      <c r="J3123" s="3"/>
      <c r="K3123" s="3"/>
      <c r="L3123" s="5"/>
    </row>
    <row r="3124" spans="1:12" ht="72" x14ac:dyDescent="0.55000000000000004">
      <c r="A3124" s="9" t="str">
        <f>HYPERLINK("PDF\FOIA-FWS-2020-00724-0003123.pdf","FOIA-FWS-2020-00724-0003123")</f>
        <v>FOIA-FWS-2020-00724-0003123</v>
      </c>
      <c r="B3124" s="3" t="s">
        <v>4932</v>
      </c>
      <c r="C3124" s="3" t="s">
        <v>3</v>
      </c>
      <c r="D3124" s="3" t="s">
        <v>33</v>
      </c>
      <c r="E3124" s="3" t="s">
        <v>4933</v>
      </c>
      <c r="F3124" s="4">
        <v>43812.511111111111</v>
      </c>
      <c r="G3124" s="3" t="s">
        <v>872</v>
      </c>
      <c r="H3124" s="3" t="s">
        <v>1392</v>
      </c>
      <c r="I3124" s="3" t="s">
        <v>7043</v>
      </c>
      <c r="J3124" s="3"/>
      <c r="K3124" s="3"/>
      <c r="L3124" s="5"/>
    </row>
    <row r="3125" spans="1:12" ht="28.8" x14ac:dyDescent="0.55000000000000004">
      <c r="A3125" s="9" t="str">
        <f>HYPERLINK("PDF\FOIA-FWS-2020-00724-0003124.pdf","FOIA-FWS-2020-00724-0003124")</f>
        <v>FOIA-FWS-2020-00724-0003124</v>
      </c>
      <c r="B3125" s="3" t="s">
        <v>4934</v>
      </c>
      <c r="C3125" s="3" t="s">
        <v>3</v>
      </c>
      <c r="D3125" s="3" t="s">
        <v>33</v>
      </c>
      <c r="E3125" s="3" t="s">
        <v>4936</v>
      </c>
      <c r="F3125" s="4">
        <v>43812.538194444445</v>
      </c>
      <c r="G3125" s="3" t="s">
        <v>4935</v>
      </c>
      <c r="H3125" s="3" t="s">
        <v>955</v>
      </c>
      <c r="I3125" s="3" t="s">
        <v>7043</v>
      </c>
      <c r="J3125" s="3"/>
      <c r="K3125" s="3"/>
      <c r="L3125" s="5"/>
    </row>
    <row r="3126" spans="1:12" ht="28.8" x14ac:dyDescent="0.55000000000000004">
      <c r="A3126" s="9" t="str">
        <f>HYPERLINK("PDF\FOIA-FWS-2020-00724-0003125.pdf","FOIA-FWS-2020-00724-0003125")</f>
        <v>FOIA-FWS-2020-00724-0003125</v>
      </c>
      <c r="B3126" s="3" t="s">
        <v>4934</v>
      </c>
      <c r="C3126" s="3" t="s">
        <v>234</v>
      </c>
      <c r="D3126" s="3" t="s">
        <v>160</v>
      </c>
      <c r="E3126" s="3" t="s">
        <v>4937</v>
      </c>
      <c r="F3126" s="4">
        <v>43812.538194444445</v>
      </c>
      <c r="G3126" s="3"/>
      <c r="H3126" s="3"/>
      <c r="I3126" s="3" t="s">
        <v>7043</v>
      </c>
      <c r="J3126" s="3"/>
      <c r="K3126" s="3"/>
      <c r="L3126" s="5"/>
    </row>
    <row r="3127" spans="1:12" ht="28.8" x14ac:dyDescent="0.55000000000000004">
      <c r="A3127" s="9" t="str">
        <f>HYPERLINK("PDF\FOIA-FWS-2020-00724-0003126.pdf","FOIA-FWS-2020-00724-0003126")</f>
        <v>FOIA-FWS-2020-00724-0003126</v>
      </c>
      <c r="B3127" s="3" t="s">
        <v>4934</v>
      </c>
      <c r="C3127" s="3" t="s">
        <v>234</v>
      </c>
      <c r="D3127" s="3" t="s">
        <v>160</v>
      </c>
      <c r="E3127" s="3" t="s">
        <v>4938</v>
      </c>
      <c r="F3127" s="4">
        <v>43812.538194444445</v>
      </c>
      <c r="G3127" s="3"/>
      <c r="H3127" s="3"/>
      <c r="I3127" s="3" t="s">
        <v>7043</v>
      </c>
      <c r="J3127" s="3"/>
      <c r="K3127" s="3"/>
      <c r="L3127" s="5"/>
    </row>
    <row r="3128" spans="1:12" ht="28.8" x14ac:dyDescent="0.55000000000000004">
      <c r="A3128" s="9" t="str">
        <f>HYPERLINK("PDF\FOIA-FWS-2020-00724-0003127.pdf","FOIA-FWS-2020-00724-0003127")</f>
        <v>FOIA-FWS-2020-00724-0003127</v>
      </c>
      <c r="B3128" s="3" t="s">
        <v>4934</v>
      </c>
      <c r="C3128" s="3" t="s">
        <v>234</v>
      </c>
      <c r="D3128" s="3" t="s">
        <v>33</v>
      </c>
      <c r="E3128" s="3" t="s">
        <v>4939</v>
      </c>
      <c r="F3128" s="4">
        <v>43812.538194444445</v>
      </c>
      <c r="G3128" s="3"/>
      <c r="H3128" s="3"/>
      <c r="I3128" s="3" t="s">
        <v>7043</v>
      </c>
      <c r="J3128" s="3"/>
      <c r="K3128" s="3"/>
      <c r="L3128" s="5"/>
    </row>
    <row r="3129" spans="1:12" ht="28.8" x14ac:dyDescent="0.55000000000000004">
      <c r="A3129" s="9" t="str">
        <f>HYPERLINK("PDF\FOIA-FWS-2020-00724-0003128.pdf","FOIA-FWS-2020-00724-0003128")</f>
        <v>FOIA-FWS-2020-00724-0003128</v>
      </c>
      <c r="B3129" s="3" t="s">
        <v>4934</v>
      </c>
      <c r="C3129" s="3" t="s">
        <v>234</v>
      </c>
      <c r="D3129" s="3" t="s">
        <v>160</v>
      </c>
      <c r="E3129" s="3" t="s">
        <v>4940</v>
      </c>
      <c r="F3129" s="4">
        <v>43812.538194444445</v>
      </c>
      <c r="G3129" s="3"/>
      <c r="H3129" s="3"/>
      <c r="I3129" s="3" t="s">
        <v>7043</v>
      </c>
      <c r="J3129" s="3"/>
      <c r="K3129" s="3"/>
      <c r="L3129" s="5" t="str">
        <f>HYPERLINK("NATIVE_FILES\FOIA-FWS-2020-00724-0003128.kml","FOIA-FWS-2020-00724-0003128.kml")</f>
        <v>FOIA-FWS-2020-00724-0003128.kml</v>
      </c>
    </row>
    <row r="3130" spans="1:12" ht="28.8" x14ac:dyDescent="0.55000000000000004">
      <c r="A3130" s="9" t="str">
        <f>HYPERLINK("PDF\FOIA-FWS-2020-00724-0003129.pdf","FOIA-FWS-2020-00724-0003129")</f>
        <v>FOIA-FWS-2020-00724-0003129</v>
      </c>
      <c r="B3130" s="3" t="s">
        <v>4934</v>
      </c>
      <c r="C3130" s="3" t="s">
        <v>234</v>
      </c>
      <c r="D3130" s="3" t="s">
        <v>160</v>
      </c>
      <c r="E3130" s="3" t="s">
        <v>4941</v>
      </c>
      <c r="F3130" s="4">
        <v>43812.538194444445</v>
      </c>
      <c r="G3130" s="3"/>
      <c r="H3130" s="3"/>
      <c r="I3130" s="3" t="s">
        <v>7043</v>
      </c>
      <c r="J3130" s="3"/>
      <c r="K3130" s="3"/>
      <c r="L3130" s="5"/>
    </row>
    <row r="3131" spans="1:12" ht="28.8" x14ac:dyDescent="0.55000000000000004">
      <c r="A3131" s="9" t="str">
        <f>HYPERLINK("PDF\FOIA-FWS-2020-00724-0003130.pdf","FOIA-FWS-2020-00724-0003130")</f>
        <v>FOIA-FWS-2020-00724-0003130</v>
      </c>
      <c r="B3131" s="3" t="s">
        <v>4934</v>
      </c>
      <c r="C3131" s="3" t="s">
        <v>234</v>
      </c>
      <c r="D3131" s="3" t="s">
        <v>160</v>
      </c>
      <c r="E3131" s="3" t="s">
        <v>4940</v>
      </c>
      <c r="F3131" s="4">
        <v>43812.538194444445</v>
      </c>
      <c r="G3131" s="3"/>
      <c r="H3131" s="3"/>
      <c r="I3131" s="3" t="s">
        <v>7043</v>
      </c>
      <c r="J3131" s="3"/>
      <c r="K3131" s="3"/>
      <c r="L3131" s="5" t="str">
        <f>HYPERLINK("NATIVE_FILES\FOIA-FWS-2020-00724-0003130.kml","FOIA-FWS-2020-00724-0003130.kml")</f>
        <v>FOIA-FWS-2020-00724-0003130.kml</v>
      </c>
    </row>
    <row r="3132" spans="1:12" ht="28.8" x14ac:dyDescent="0.55000000000000004">
      <c r="A3132" s="9" t="str">
        <f>HYPERLINK("PDF\FOIA-FWS-2020-00724-0003131.pdf","FOIA-FWS-2020-00724-0003131")</f>
        <v>FOIA-FWS-2020-00724-0003131</v>
      </c>
      <c r="B3132" s="3" t="s">
        <v>4934</v>
      </c>
      <c r="C3132" s="3" t="s">
        <v>234</v>
      </c>
      <c r="D3132" s="3" t="s">
        <v>160</v>
      </c>
      <c r="E3132" s="3" t="s">
        <v>4941</v>
      </c>
      <c r="F3132" s="4">
        <v>43812.538194444445</v>
      </c>
      <c r="G3132" s="3"/>
      <c r="H3132" s="3"/>
      <c r="I3132" s="3" t="s">
        <v>7043</v>
      </c>
      <c r="J3132" s="3"/>
      <c r="K3132" s="3"/>
      <c r="L3132" s="5"/>
    </row>
    <row r="3133" spans="1:12" ht="28.8" x14ac:dyDescent="0.55000000000000004">
      <c r="A3133" s="9" t="str">
        <f>HYPERLINK("PDF\FOIA-FWS-2020-00724-0003132.pdf","FOIA-FWS-2020-00724-0003132")</f>
        <v>FOIA-FWS-2020-00724-0003132</v>
      </c>
      <c r="B3133" s="3" t="s">
        <v>4942</v>
      </c>
      <c r="C3133" s="3" t="s">
        <v>3</v>
      </c>
      <c r="D3133" s="3" t="s">
        <v>33</v>
      </c>
      <c r="E3133" s="3" t="s">
        <v>4944</v>
      </c>
      <c r="F3133" s="4">
        <v>43812.55</v>
      </c>
      <c r="G3133" s="3" t="s">
        <v>945</v>
      </c>
      <c r="H3133" s="3" t="s">
        <v>4943</v>
      </c>
      <c r="I3133" s="3" t="s">
        <v>7043</v>
      </c>
      <c r="J3133" s="3"/>
      <c r="K3133" s="3"/>
      <c r="L3133" s="5"/>
    </row>
    <row r="3134" spans="1:12" ht="28.8" x14ac:dyDescent="0.55000000000000004">
      <c r="A3134" s="9" t="str">
        <f>HYPERLINK("PDF\FOIA-FWS-2020-00724-0003133.pdf","FOIA-FWS-2020-00724-0003133")</f>
        <v>FOIA-FWS-2020-00724-0003133</v>
      </c>
      <c r="B3134" s="3" t="s">
        <v>4945</v>
      </c>
      <c r="C3134" s="3" t="s">
        <v>3</v>
      </c>
      <c r="D3134" s="3" t="s">
        <v>33</v>
      </c>
      <c r="E3134" s="3" t="s">
        <v>4944</v>
      </c>
      <c r="F3134" s="4">
        <v>43812.557638888888</v>
      </c>
      <c r="G3134" s="3" t="s">
        <v>2179</v>
      </c>
      <c r="H3134" s="3" t="s">
        <v>4946</v>
      </c>
      <c r="I3134" s="3" t="s">
        <v>7043</v>
      </c>
      <c r="J3134" s="3"/>
      <c r="K3134" s="3"/>
      <c r="L3134" s="5"/>
    </row>
    <row r="3135" spans="1:12" ht="28.8" x14ac:dyDescent="0.55000000000000004">
      <c r="A3135" s="9" t="str">
        <f>HYPERLINK("PDF\FOIA-FWS-2020-00724-0003134.pdf","FOIA-FWS-2020-00724-0003134")</f>
        <v>FOIA-FWS-2020-00724-0003134</v>
      </c>
      <c r="B3135" s="3" t="s">
        <v>4947</v>
      </c>
      <c r="C3135" s="3" t="s">
        <v>3</v>
      </c>
      <c r="D3135" s="3" t="s">
        <v>33</v>
      </c>
      <c r="E3135" s="3" t="s">
        <v>4948</v>
      </c>
      <c r="F3135" s="4">
        <v>43812.583333333336</v>
      </c>
      <c r="G3135" s="3" t="s">
        <v>1024</v>
      </c>
      <c r="H3135" s="3" t="s">
        <v>2179</v>
      </c>
      <c r="I3135" s="3" t="s">
        <v>7043</v>
      </c>
      <c r="J3135" s="3"/>
      <c r="K3135" s="3"/>
      <c r="L3135" s="5"/>
    </row>
    <row r="3136" spans="1:12" ht="28.8" x14ac:dyDescent="0.55000000000000004">
      <c r="A3136" s="9" t="str">
        <f>HYPERLINK("PDF\FOIA-FWS-2020-00724-0003135.pdf","FOIA-FWS-2020-00724-0003135")</f>
        <v>FOIA-FWS-2020-00724-0003135</v>
      </c>
      <c r="B3136" s="3" t="s">
        <v>4949</v>
      </c>
      <c r="C3136" s="3" t="s">
        <v>3</v>
      </c>
      <c r="D3136" s="3" t="s">
        <v>33</v>
      </c>
      <c r="E3136" s="3" t="s">
        <v>4950</v>
      </c>
      <c r="F3136" s="4">
        <v>43812.609027777777</v>
      </c>
      <c r="G3136" s="3" t="s">
        <v>861</v>
      </c>
      <c r="H3136" s="3" t="s">
        <v>2334</v>
      </c>
      <c r="I3136" s="3" t="s">
        <v>7043</v>
      </c>
      <c r="J3136" s="3"/>
      <c r="K3136" s="3"/>
      <c r="L3136" s="5"/>
    </row>
    <row r="3137" spans="1:12" ht="28.8" x14ac:dyDescent="0.55000000000000004">
      <c r="A3137" s="9" t="str">
        <f>HYPERLINK("PDF\FOIA-FWS-2020-00724-0003136.pdf","FOIA-FWS-2020-00724-0003136")</f>
        <v>FOIA-FWS-2020-00724-0003136</v>
      </c>
      <c r="B3137" s="3" t="s">
        <v>4951</v>
      </c>
      <c r="C3137" s="3" t="s">
        <v>3</v>
      </c>
      <c r="D3137" s="3" t="s">
        <v>33</v>
      </c>
      <c r="E3137" s="3" t="s">
        <v>4952</v>
      </c>
      <c r="F3137" s="4">
        <v>43812.634722222225</v>
      </c>
      <c r="G3137" s="3" t="s">
        <v>1034</v>
      </c>
      <c r="H3137" s="3" t="s">
        <v>4470</v>
      </c>
      <c r="I3137" s="3" t="s">
        <v>7043</v>
      </c>
      <c r="J3137" s="3"/>
      <c r="K3137" s="3"/>
      <c r="L3137" s="5"/>
    </row>
    <row r="3138" spans="1:12" ht="28.8" x14ac:dyDescent="0.55000000000000004">
      <c r="A3138" s="9" t="str">
        <f>HYPERLINK("PDF\FOIA-FWS-2020-00724-0003137.pdf","FOIA-FWS-2020-00724-0003137")</f>
        <v>FOIA-FWS-2020-00724-0003137</v>
      </c>
      <c r="B3138" s="3" t="s">
        <v>4953</v>
      </c>
      <c r="C3138" s="3" t="s">
        <v>3</v>
      </c>
      <c r="D3138" s="3" t="s">
        <v>33</v>
      </c>
      <c r="E3138" s="3" t="s">
        <v>4954</v>
      </c>
      <c r="F3138" s="4">
        <v>43812.636111111111</v>
      </c>
      <c r="G3138" s="3" t="s">
        <v>4302</v>
      </c>
      <c r="H3138" s="3" t="s">
        <v>2179</v>
      </c>
      <c r="I3138" s="3" t="s">
        <v>7043</v>
      </c>
      <c r="J3138" s="3"/>
      <c r="K3138" s="3"/>
      <c r="L3138" s="5"/>
    </row>
    <row r="3139" spans="1:12" ht="28.8" x14ac:dyDescent="0.55000000000000004">
      <c r="A3139" s="9" t="str">
        <f>HYPERLINK("PDF\FOIA-FWS-2020-00724-0003138.pdf","FOIA-FWS-2020-00724-0003138")</f>
        <v>FOIA-FWS-2020-00724-0003138</v>
      </c>
      <c r="B3139" s="3" t="s">
        <v>4955</v>
      </c>
      <c r="C3139" s="3" t="s">
        <v>3</v>
      </c>
      <c r="D3139" s="3" t="s">
        <v>33</v>
      </c>
      <c r="E3139" s="3" t="s">
        <v>4957</v>
      </c>
      <c r="F3139" s="4">
        <v>43812.722916666666</v>
      </c>
      <c r="G3139" s="3" t="s">
        <v>861</v>
      </c>
      <c r="H3139" s="3" t="s">
        <v>4956</v>
      </c>
      <c r="I3139" s="3" t="s">
        <v>7043</v>
      </c>
      <c r="J3139" s="3"/>
      <c r="K3139" s="3"/>
      <c r="L3139" s="5"/>
    </row>
    <row r="3140" spans="1:12" ht="28.8" x14ac:dyDescent="0.55000000000000004">
      <c r="A3140" s="9" t="str">
        <f>HYPERLINK("PDF\FOIA-FWS-2020-00724-0003139.pdf","FOIA-FWS-2020-00724-0003139")</f>
        <v>FOIA-FWS-2020-00724-0003139</v>
      </c>
      <c r="B3140" s="3" t="s">
        <v>4958</v>
      </c>
      <c r="C3140" s="3" t="s">
        <v>3</v>
      </c>
      <c r="D3140" s="3" t="s">
        <v>33</v>
      </c>
      <c r="E3140" s="3" t="s">
        <v>4957</v>
      </c>
      <c r="F3140" s="4">
        <v>43812.744444444441</v>
      </c>
      <c r="G3140" s="3" t="s">
        <v>861</v>
      </c>
      <c r="H3140" s="3" t="s">
        <v>4956</v>
      </c>
      <c r="I3140" s="3" t="s">
        <v>7043</v>
      </c>
      <c r="J3140" s="3"/>
      <c r="K3140" s="3"/>
      <c r="L3140" s="5"/>
    </row>
    <row r="3141" spans="1:12" ht="28.8" x14ac:dyDescent="0.55000000000000004">
      <c r="A3141" s="9" t="str">
        <f>HYPERLINK("PDF\FOIA-FWS-2020-00724-0003140.pdf","FOIA-FWS-2020-00724-0003140")</f>
        <v>FOIA-FWS-2020-00724-0003140</v>
      </c>
      <c r="B3141" s="3" t="s">
        <v>4959</v>
      </c>
      <c r="C3141" s="3" t="s">
        <v>3</v>
      </c>
      <c r="D3141" s="3" t="s">
        <v>33</v>
      </c>
      <c r="E3141" s="3" t="s">
        <v>4952</v>
      </c>
      <c r="F3141" s="4">
        <v>43812.840277777781</v>
      </c>
      <c r="G3141" s="3" t="s">
        <v>1034</v>
      </c>
      <c r="H3141" s="3" t="s">
        <v>872</v>
      </c>
      <c r="I3141" s="3" t="s">
        <v>7043</v>
      </c>
      <c r="J3141" s="3"/>
      <c r="K3141" s="3"/>
      <c r="L3141" s="5"/>
    </row>
    <row r="3142" spans="1:12" ht="43.2" x14ac:dyDescent="0.55000000000000004">
      <c r="A3142" s="9" t="str">
        <f>HYPERLINK("PDF\FOIA-FWS-2020-00724-0003141.pdf","FOIA-FWS-2020-00724-0003141")</f>
        <v>FOIA-FWS-2020-00724-0003141</v>
      </c>
      <c r="B3142" s="3" t="s">
        <v>4960</v>
      </c>
      <c r="C3142" s="3" t="s">
        <v>3</v>
      </c>
      <c r="D3142" s="3" t="s">
        <v>38</v>
      </c>
      <c r="E3142" s="3" t="s">
        <v>4961</v>
      </c>
      <c r="F3142" s="4">
        <v>43815</v>
      </c>
      <c r="G3142" s="3" t="s">
        <v>2965</v>
      </c>
      <c r="H3142" s="3"/>
      <c r="I3142" s="3" t="s">
        <v>7043</v>
      </c>
      <c r="J3142" s="3"/>
      <c r="K3142" s="3"/>
      <c r="L3142" s="5"/>
    </row>
    <row r="3143" spans="1:12" ht="28.8" x14ac:dyDescent="0.55000000000000004">
      <c r="A3143" s="9" t="str">
        <f>HYPERLINK("PDF\FOIA-FWS-2020-00724-0003142.pdf","FOIA-FWS-2020-00724-0003142")</f>
        <v>FOIA-FWS-2020-00724-0003142</v>
      </c>
      <c r="B3143" s="3" t="s">
        <v>4962</v>
      </c>
      <c r="C3143" s="3" t="s">
        <v>3</v>
      </c>
      <c r="D3143" s="3" t="s">
        <v>33</v>
      </c>
      <c r="E3143" s="3" t="s">
        <v>4963</v>
      </c>
      <c r="F3143" s="4">
        <v>43815.489583333336</v>
      </c>
      <c r="G3143" s="3" t="s">
        <v>963</v>
      </c>
      <c r="H3143" s="3" t="s">
        <v>1392</v>
      </c>
      <c r="I3143" s="3" t="s">
        <v>7043</v>
      </c>
      <c r="J3143" s="3"/>
      <c r="K3143" s="3"/>
      <c r="L3143" s="5"/>
    </row>
    <row r="3144" spans="1:12" ht="28.8" x14ac:dyDescent="0.55000000000000004">
      <c r="A3144" s="9" t="str">
        <f>HYPERLINK("PDF\FOIA-FWS-2020-00724-0003143.pdf","FOIA-FWS-2020-00724-0003143")</f>
        <v>FOIA-FWS-2020-00724-0003143</v>
      </c>
      <c r="B3144" s="3" t="s">
        <v>4964</v>
      </c>
      <c r="C3144" s="3" t="s">
        <v>3</v>
      </c>
      <c r="D3144" s="3" t="s">
        <v>33</v>
      </c>
      <c r="E3144" s="3" t="s">
        <v>4952</v>
      </c>
      <c r="F3144" s="4">
        <v>43815.507638888892</v>
      </c>
      <c r="G3144" s="3" t="s">
        <v>1034</v>
      </c>
      <c r="H3144" s="3" t="s">
        <v>872</v>
      </c>
      <c r="I3144" s="3" t="s">
        <v>7043</v>
      </c>
      <c r="J3144" s="3"/>
      <c r="K3144" s="3"/>
      <c r="L3144" s="5"/>
    </row>
    <row r="3145" spans="1:12" ht="28.8" x14ac:dyDescent="0.55000000000000004">
      <c r="A3145" s="9" t="str">
        <f>HYPERLINK("PDF\FOIA-FWS-2020-00724-0003144.pdf","FOIA-FWS-2020-00724-0003144")</f>
        <v>FOIA-FWS-2020-00724-0003144</v>
      </c>
      <c r="B3145" s="3" t="s">
        <v>4965</v>
      </c>
      <c r="C3145" s="3" t="s">
        <v>234</v>
      </c>
      <c r="D3145" s="3" t="s">
        <v>38</v>
      </c>
      <c r="E3145" s="3" t="s">
        <v>4966</v>
      </c>
      <c r="F3145" s="4">
        <v>43815.509722222225</v>
      </c>
      <c r="G3145" s="3"/>
      <c r="H3145" s="3"/>
      <c r="I3145" s="3" t="s">
        <v>7043</v>
      </c>
      <c r="J3145" s="3"/>
      <c r="K3145" s="3"/>
      <c r="L3145" s="5"/>
    </row>
    <row r="3146" spans="1:12" ht="28.8" x14ac:dyDescent="0.55000000000000004">
      <c r="A3146" s="9" t="str">
        <f>HYPERLINK("PDF\FOIA-FWS-2020-00724-0003145.pdf","FOIA-FWS-2020-00724-0003145")</f>
        <v>FOIA-FWS-2020-00724-0003145</v>
      </c>
      <c r="B3146" s="3" t="s">
        <v>4965</v>
      </c>
      <c r="C3146" s="3" t="s">
        <v>3</v>
      </c>
      <c r="D3146" s="3" t="s">
        <v>33</v>
      </c>
      <c r="E3146" s="3" t="s">
        <v>4967</v>
      </c>
      <c r="F3146" s="4">
        <v>43815.509722222225</v>
      </c>
      <c r="G3146" s="3" t="s">
        <v>4516</v>
      </c>
      <c r="H3146" s="3" t="s">
        <v>861</v>
      </c>
      <c r="I3146" s="3" t="s">
        <v>7043</v>
      </c>
      <c r="J3146" s="3"/>
      <c r="K3146" s="3"/>
      <c r="L3146" s="5"/>
    </row>
    <row r="3147" spans="1:12" ht="28.8" x14ac:dyDescent="0.55000000000000004">
      <c r="A3147" s="9" t="str">
        <f>HYPERLINK("PDF\FOIA-FWS-2020-00724-0003146.pdf","FOIA-FWS-2020-00724-0003146")</f>
        <v>FOIA-FWS-2020-00724-0003146</v>
      </c>
      <c r="B3147" s="3" t="s">
        <v>4968</v>
      </c>
      <c r="C3147" s="3" t="s">
        <v>3</v>
      </c>
      <c r="D3147" s="3" t="s">
        <v>33</v>
      </c>
      <c r="E3147" s="3" t="s">
        <v>4970</v>
      </c>
      <c r="F3147" s="4">
        <v>43815.56527777778</v>
      </c>
      <c r="G3147" s="3" t="s">
        <v>1631</v>
      </c>
      <c r="H3147" s="3" t="s">
        <v>4969</v>
      </c>
      <c r="I3147" s="3" t="s">
        <v>7043</v>
      </c>
      <c r="J3147" s="3"/>
      <c r="K3147" s="3"/>
      <c r="L3147" s="5"/>
    </row>
    <row r="3148" spans="1:12" ht="28.8" x14ac:dyDescent="0.55000000000000004">
      <c r="A3148" s="9" t="str">
        <f>HYPERLINK("PDF\FOIA-FWS-2020-00724-0003147.pdf","FOIA-FWS-2020-00724-0003147")</f>
        <v>FOIA-FWS-2020-00724-0003147</v>
      </c>
      <c r="B3148" s="3" t="s">
        <v>4971</v>
      </c>
      <c r="C3148" s="3" t="s">
        <v>3</v>
      </c>
      <c r="D3148" s="3" t="s">
        <v>33</v>
      </c>
      <c r="E3148" s="3" t="s">
        <v>4970</v>
      </c>
      <c r="F3148" s="4">
        <v>43815.568749999999</v>
      </c>
      <c r="G3148" s="3" t="s">
        <v>1012</v>
      </c>
      <c r="H3148" s="3" t="s">
        <v>945</v>
      </c>
      <c r="I3148" s="3" t="s">
        <v>7043</v>
      </c>
      <c r="J3148" s="3"/>
      <c r="K3148" s="3"/>
      <c r="L3148" s="5"/>
    </row>
    <row r="3149" spans="1:12" ht="28.8" x14ac:dyDescent="0.55000000000000004">
      <c r="A3149" s="9" t="str">
        <f>HYPERLINK("PDF\FOIA-FWS-2020-00724-0003148.pdf","FOIA-FWS-2020-00724-0003148")</f>
        <v>FOIA-FWS-2020-00724-0003148</v>
      </c>
      <c r="B3149" s="3" t="s">
        <v>4972</v>
      </c>
      <c r="C3149" s="3" t="s">
        <v>3</v>
      </c>
      <c r="D3149" s="3" t="s">
        <v>33</v>
      </c>
      <c r="E3149" s="3" t="s">
        <v>4974</v>
      </c>
      <c r="F3149" s="4">
        <v>43815.574999999997</v>
      </c>
      <c r="G3149" s="3" t="s">
        <v>1012</v>
      </c>
      <c r="H3149" s="3" t="s">
        <v>4973</v>
      </c>
      <c r="I3149" s="3" t="s">
        <v>7043</v>
      </c>
      <c r="J3149" s="3"/>
      <c r="K3149" s="3"/>
      <c r="L3149" s="5"/>
    </row>
    <row r="3150" spans="1:12" ht="28.8" x14ac:dyDescent="0.55000000000000004">
      <c r="A3150" s="9" t="str">
        <f>HYPERLINK("PDF\FOIA-FWS-2020-00724-0003149.pdf","FOIA-FWS-2020-00724-0003149")</f>
        <v>FOIA-FWS-2020-00724-0003149</v>
      </c>
      <c r="B3150" s="3" t="s">
        <v>4972</v>
      </c>
      <c r="C3150" s="3" t="s">
        <v>234</v>
      </c>
      <c r="D3150" s="3" t="s">
        <v>33</v>
      </c>
      <c r="E3150" s="3" t="s">
        <v>4975</v>
      </c>
      <c r="F3150" s="4">
        <v>43815.574999999997</v>
      </c>
      <c r="G3150" s="3"/>
      <c r="H3150" s="3"/>
      <c r="I3150" s="3" t="s">
        <v>7043</v>
      </c>
      <c r="J3150" s="3"/>
      <c r="K3150" s="3"/>
      <c r="L3150" s="5"/>
    </row>
    <row r="3151" spans="1:12" ht="43.2" x14ac:dyDescent="0.55000000000000004">
      <c r="A3151" s="9" t="str">
        <f>HYPERLINK("PDF\FOIA-FWS-2020-00724-0003150.pdf","FOIA-FWS-2020-00724-0003150")</f>
        <v>FOIA-FWS-2020-00724-0003150</v>
      </c>
      <c r="B3151" s="3" t="s">
        <v>4976</v>
      </c>
      <c r="C3151" s="3" t="s">
        <v>3</v>
      </c>
      <c r="D3151" s="3" t="s">
        <v>33</v>
      </c>
      <c r="E3151" s="3" t="s">
        <v>4979</v>
      </c>
      <c r="F3151" s="4">
        <v>43815.615277777775</v>
      </c>
      <c r="G3151" s="3" t="s">
        <v>4977</v>
      </c>
      <c r="H3151" s="3" t="s">
        <v>4978</v>
      </c>
      <c r="I3151" s="3" t="s">
        <v>864</v>
      </c>
      <c r="J3151" s="3" t="s">
        <v>7046</v>
      </c>
      <c r="K3151" s="3" t="s">
        <v>7036</v>
      </c>
      <c r="L3151" s="5"/>
    </row>
    <row r="3152" spans="1:12" ht="28.8" x14ac:dyDescent="0.55000000000000004">
      <c r="A3152" s="9" t="str">
        <f>HYPERLINK("PDF\FOIA-FWS-2020-00724-0003151.pdf","FOIA-FWS-2020-00724-0003151")</f>
        <v>FOIA-FWS-2020-00724-0003151</v>
      </c>
      <c r="B3152" s="3" t="s">
        <v>4980</v>
      </c>
      <c r="C3152" s="3" t="s">
        <v>3</v>
      </c>
      <c r="D3152" s="3" t="s">
        <v>33</v>
      </c>
      <c r="E3152" s="3" t="s">
        <v>4981</v>
      </c>
      <c r="F3152" s="4">
        <v>43815.657638888886</v>
      </c>
      <c r="G3152" s="3" t="s">
        <v>1034</v>
      </c>
      <c r="H3152" s="3" t="s">
        <v>1012</v>
      </c>
      <c r="I3152" s="3" t="s">
        <v>7043</v>
      </c>
      <c r="J3152" s="3"/>
      <c r="K3152" s="3"/>
      <c r="L3152" s="5"/>
    </row>
    <row r="3153" spans="1:12" ht="28.8" x14ac:dyDescent="0.55000000000000004">
      <c r="A3153" s="9" t="str">
        <f>HYPERLINK("PDF\FOIA-FWS-2020-00724-0003152.pdf","FOIA-FWS-2020-00724-0003152")</f>
        <v>FOIA-FWS-2020-00724-0003152</v>
      </c>
      <c r="B3153" s="3" t="s">
        <v>4982</v>
      </c>
      <c r="C3153" s="3" t="s">
        <v>3</v>
      </c>
      <c r="D3153" s="3" t="s">
        <v>33</v>
      </c>
      <c r="E3153" s="3" t="s">
        <v>4984</v>
      </c>
      <c r="F3153" s="4">
        <v>43815.768055555556</v>
      </c>
      <c r="G3153" s="3" t="s">
        <v>1392</v>
      </c>
      <c r="H3153" s="3" t="s">
        <v>4983</v>
      </c>
      <c r="I3153" s="3" t="s">
        <v>7043</v>
      </c>
      <c r="J3153" s="3"/>
      <c r="K3153" s="3"/>
      <c r="L3153" s="5"/>
    </row>
    <row r="3154" spans="1:12" ht="28.8" x14ac:dyDescent="0.55000000000000004">
      <c r="A3154" s="9" t="str">
        <f>HYPERLINK("PDF\FOIA-FWS-2020-00724-0003153.pdf","FOIA-FWS-2020-00724-0003153")</f>
        <v>FOIA-FWS-2020-00724-0003153</v>
      </c>
      <c r="B3154" s="3" t="s">
        <v>4985</v>
      </c>
      <c r="C3154" s="3" t="s">
        <v>3</v>
      </c>
      <c r="D3154" s="3" t="s">
        <v>33</v>
      </c>
      <c r="E3154" s="3" t="s">
        <v>4987</v>
      </c>
      <c r="F3154" s="4">
        <v>43815.802777777775</v>
      </c>
      <c r="G3154" s="3" t="s">
        <v>872</v>
      </c>
      <c r="H3154" s="3" t="s">
        <v>4986</v>
      </c>
      <c r="I3154" s="3" t="s">
        <v>7043</v>
      </c>
      <c r="J3154" s="3"/>
      <c r="K3154" s="3"/>
      <c r="L3154" s="5"/>
    </row>
    <row r="3155" spans="1:12" ht="28.8" x14ac:dyDescent="0.55000000000000004">
      <c r="A3155" s="9" t="str">
        <f>HYPERLINK("PDF\FOIA-FWS-2020-00724-0003154.pdf","FOIA-FWS-2020-00724-0003154")</f>
        <v>FOIA-FWS-2020-00724-0003154</v>
      </c>
      <c r="B3155" s="3" t="s">
        <v>4985</v>
      </c>
      <c r="C3155" s="3" t="s">
        <v>234</v>
      </c>
      <c r="D3155" s="3" t="s">
        <v>33</v>
      </c>
      <c r="E3155" s="3" t="s">
        <v>4988</v>
      </c>
      <c r="F3155" s="4">
        <v>43815.802777777775</v>
      </c>
      <c r="G3155" s="3"/>
      <c r="H3155" s="3"/>
      <c r="I3155" s="3" t="s">
        <v>7043</v>
      </c>
      <c r="J3155" s="3"/>
      <c r="K3155" s="3"/>
      <c r="L3155" s="5"/>
    </row>
    <row r="3156" spans="1:12" ht="28.8" x14ac:dyDescent="0.55000000000000004">
      <c r="A3156" s="9" t="str">
        <f>HYPERLINK("PDF\FOIA-FWS-2020-00724-0003155.pdf","FOIA-FWS-2020-00724-0003155")</f>
        <v>FOIA-FWS-2020-00724-0003155</v>
      </c>
      <c r="B3156" s="3" t="s">
        <v>4989</v>
      </c>
      <c r="C3156" s="3" t="s">
        <v>3</v>
      </c>
      <c r="D3156" s="3" t="s">
        <v>33</v>
      </c>
      <c r="E3156" s="3" t="s">
        <v>4990</v>
      </c>
      <c r="F3156" s="4">
        <v>43816.513194444444</v>
      </c>
      <c r="G3156" s="3" t="s">
        <v>872</v>
      </c>
      <c r="H3156" s="3" t="s">
        <v>1392</v>
      </c>
      <c r="I3156" s="3" t="s">
        <v>7043</v>
      </c>
      <c r="J3156" s="3"/>
      <c r="K3156" s="3"/>
      <c r="L3156" s="5"/>
    </row>
    <row r="3157" spans="1:12" ht="28.8" x14ac:dyDescent="0.55000000000000004">
      <c r="A3157" s="9" t="str">
        <f>HYPERLINK("PDF\FOIA-FWS-2020-00724-0003156.pdf","FOIA-FWS-2020-00724-0003156")</f>
        <v>FOIA-FWS-2020-00724-0003156</v>
      </c>
      <c r="B3157" s="3" t="s">
        <v>4991</v>
      </c>
      <c r="C3157" s="3" t="s">
        <v>3</v>
      </c>
      <c r="D3157" s="3" t="s">
        <v>33</v>
      </c>
      <c r="E3157" s="3" t="s">
        <v>4992</v>
      </c>
      <c r="F3157" s="4">
        <v>43816.520833333336</v>
      </c>
      <c r="G3157" s="3" t="s">
        <v>1024</v>
      </c>
      <c r="H3157" s="3" t="s">
        <v>1119</v>
      </c>
      <c r="I3157" s="3" t="s">
        <v>7043</v>
      </c>
      <c r="J3157" s="3"/>
      <c r="K3157" s="3"/>
      <c r="L3157" s="5"/>
    </row>
    <row r="3158" spans="1:12" ht="28.8" x14ac:dyDescent="0.55000000000000004">
      <c r="A3158" s="9" t="str">
        <f>HYPERLINK("PDF\FOIA-FWS-2020-00724-0003157.pdf","FOIA-FWS-2020-00724-0003157")</f>
        <v>FOIA-FWS-2020-00724-0003157</v>
      </c>
      <c r="B3158" s="3" t="s">
        <v>4993</v>
      </c>
      <c r="C3158" s="3" t="s">
        <v>3</v>
      </c>
      <c r="D3158" s="3" t="s">
        <v>33</v>
      </c>
      <c r="E3158" s="3" t="s">
        <v>4994</v>
      </c>
      <c r="F3158" s="4">
        <v>43816.544444444444</v>
      </c>
      <c r="G3158" s="3" t="s">
        <v>1024</v>
      </c>
      <c r="H3158" s="3" t="s">
        <v>1119</v>
      </c>
      <c r="I3158" s="3" t="s">
        <v>7043</v>
      </c>
      <c r="J3158" s="3"/>
      <c r="K3158" s="3"/>
      <c r="L3158" s="5"/>
    </row>
    <row r="3159" spans="1:12" ht="28.8" x14ac:dyDescent="0.55000000000000004">
      <c r="A3159" s="9" t="str">
        <f>HYPERLINK("PDF\FOIA-FWS-2020-00724-0003158.pdf","FOIA-FWS-2020-00724-0003158")</f>
        <v>FOIA-FWS-2020-00724-0003158</v>
      </c>
      <c r="B3159" s="3" t="s">
        <v>4993</v>
      </c>
      <c r="C3159" s="3" t="s">
        <v>234</v>
      </c>
      <c r="D3159" s="3" t="s">
        <v>33</v>
      </c>
      <c r="E3159" s="3" t="s">
        <v>4995</v>
      </c>
      <c r="F3159" s="4">
        <v>43816.544444444444</v>
      </c>
      <c r="G3159" s="3"/>
      <c r="H3159" s="3"/>
      <c r="I3159" s="3" t="s">
        <v>7043</v>
      </c>
      <c r="J3159" s="3"/>
      <c r="K3159" s="3"/>
      <c r="L3159" s="5"/>
    </row>
    <row r="3160" spans="1:12" ht="28.8" x14ac:dyDescent="0.55000000000000004">
      <c r="A3160" s="9" t="str">
        <f>HYPERLINK("PDF\FOIA-FWS-2020-00724-0003159.pdf","FOIA-FWS-2020-00724-0003159")</f>
        <v>FOIA-FWS-2020-00724-0003159</v>
      </c>
      <c r="B3160" s="3" t="s">
        <v>4996</v>
      </c>
      <c r="C3160" s="3" t="s">
        <v>3</v>
      </c>
      <c r="D3160" s="3" t="s">
        <v>33</v>
      </c>
      <c r="E3160" s="3" t="s">
        <v>4997</v>
      </c>
      <c r="F3160" s="4">
        <v>43816.595138888886</v>
      </c>
      <c r="G3160" s="3" t="s">
        <v>945</v>
      </c>
      <c r="H3160" s="3" t="s">
        <v>1688</v>
      </c>
      <c r="I3160" s="3" t="s">
        <v>7043</v>
      </c>
      <c r="J3160" s="3"/>
      <c r="K3160" s="3"/>
      <c r="L3160" s="5"/>
    </row>
    <row r="3161" spans="1:12" ht="28.8" x14ac:dyDescent="0.55000000000000004">
      <c r="A3161" s="9" t="str">
        <f>HYPERLINK("PDF\FOIA-FWS-2020-00724-0003160.pdf","FOIA-FWS-2020-00724-0003160")</f>
        <v>FOIA-FWS-2020-00724-0003160</v>
      </c>
      <c r="B3161" s="3" t="s">
        <v>4998</v>
      </c>
      <c r="C3161" s="3" t="s">
        <v>3</v>
      </c>
      <c r="D3161" s="3" t="s">
        <v>33</v>
      </c>
      <c r="E3161" s="3" t="s">
        <v>4999</v>
      </c>
      <c r="F3161" s="4">
        <v>43816.598611111112</v>
      </c>
      <c r="G3161" s="3" t="s">
        <v>1119</v>
      </c>
      <c r="H3161" s="3" t="s">
        <v>861</v>
      </c>
      <c r="I3161" s="3" t="s">
        <v>7043</v>
      </c>
      <c r="J3161" s="3"/>
      <c r="K3161" s="3"/>
      <c r="L3161" s="5"/>
    </row>
    <row r="3162" spans="1:12" ht="28.8" x14ac:dyDescent="0.55000000000000004">
      <c r="A3162" s="9" t="str">
        <f>HYPERLINK("PDF\FOIA-FWS-2020-00724-0003161.pdf","FOIA-FWS-2020-00724-0003161")</f>
        <v>FOIA-FWS-2020-00724-0003161</v>
      </c>
      <c r="B3162" s="3" t="s">
        <v>4998</v>
      </c>
      <c r="C3162" s="3" t="s">
        <v>234</v>
      </c>
      <c r="D3162" s="3" t="s">
        <v>33</v>
      </c>
      <c r="E3162" s="3" t="s">
        <v>4995</v>
      </c>
      <c r="F3162" s="4">
        <v>43816.598611111112</v>
      </c>
      <c r="G3162" s="3"/>
      <c r="H3162" s="3"/>
      <c r="I3162" s="3" t="s">
        <v>7043</v>
      </c>
      <c r="J3162" s="3"/>
      <c r="K3162" s="3"/>
      <c r="L3162" s="5"/>
    </row>
    <row r="3163" spans="1:12" ht="28.8" x14ac:dyDescent="0.55000000000000004">
      <c r="A3163" s="9" t="str">
        <f>HYPERLINK("PDF\FOIA-FWS-2020-00724-0003162.pdf","FOIA-FWS-2020-00724-0003162")</f>
        <v>FOIA-FWS-2020-00724-0003162</v>
      </c>
      <c r="B3163" s="3" t="s">
        <v>5000</v>
      </c>
      <c r="C3163" s="3" t="s">
        <v>3</v>
      </c>
      <c r="D3163" s="3" t="s">
        <v>33</v>
      </c>
      <c r="E3163" s="3" t="s">
        <v>5001</v>
      </c>
      <c r="F3163" s="4">
        <v>43816.603472222225</v>
      </c>
      <c r="G3163" s="3" t="s">
        <v>861</v>
      </c>
      <c r="H3163" s="3" t="s">
        <v>1119</v>
      </c>
      <c r="I3163" s="3" t="s">
        <v>7043</v>
      </c>
      <c r="J3163" s="3"/>
      <c r="K3163" s="3"/>
      <c r="L3163" s="5"/>
    </row>
    <row r="3164" spans="1:12" ht="28.8" x14ac:dyDescent="0.55000000000000004">
      <c r="A3164" s="9" t="str">
        <f>HYPERLINK("PDF\FOIA-FWS-2020-00724-0003163.pdf","FOIA-FWS-2020-00724-0003163")</f>
        <v>FOIA-FWS-2020-00724-0003163</v>
      </c>
      <c r="B3164" s="3" t="s">
        <v>5002</v>
      </c>
      <c r="C3164" s="3" t="s">
        <v>3</v>
      </c>
      <c r="D3164" s="3" t="s">
        <v>33</v>
      </c>
      <c r="E3164" s="3" t="s">
        <v>4999</v>
      </c>
      <c r="F3164" s="4">
        <v>43816.618055555555</v>
      </c>
      <c r="G3164" s="3" t="s">
        <v>1119</v>
      </c>
      <c r="H3164" s="3" t="s">
        <v>5003</v>
      </c>
      <c r="I3164" s="3" t="s">
        <v>7043</v>
      </c>
      <c r="J3164" s="3"/>
      <c r="K3164" s="3"/>
      <c r="L3164" s="5"/>
    </row>
    <row r="3165" spans="1:12" ht="28.8" x14ac:dyDescent="0.55000000000000004">
      <c r="A3165" s="9" t="str">
        <f>HYPERLINK("PDF\FOIA-FWS-2020-00724-0003164.pdf","FOIA-FWS-2020-00724-0003164")</f>
        <v>FOIA-FWS-2020-00724-0003164</v>
      </c>
      <c r="B3165" s="3" t="s">
        <v>5002</v>
      </c>
      <c r="C3165" s="3" t="s">
        <v>234</v>
      </c>
      <c r="D3165" s="3" t="s">
        <v>33</v>
      </c>
      <c r="E3165" s="3" t="s">
        <v>4995</v>
      </c>
      <c r="F3165" s="4">
        <v>43816.618055555555</v>
      </c>
      <c r="G3165" s="3"/>
      <c r="H3165" s="3"/>
      <c r="I3165" s="3" t="s">
        <v>7043</v>
      </c>
      <c r="J3165" s="3"/>
      <c r="K3165" s="3"/>
      <c r="L3165" s="5"/>
    </row>
    <row r="3166" spans="1:12" ht="28.8" x14ac:dyDescent="0.55000000000000004">
      <c r="A3166" s="9" t="str">
        <f>HYPERLINK("PDF\FOIA-FWS-2020-00724-0003165.pdf","FOIA-FWS-2020-00724-0003165")</f>
        <v>FOIA-FWS-2020-00724-0003165</v>
      </c>
      <c r="B3166" s="3" t="s">
        <v>5004</v>
      </c>
      <c r="C3166" s="3" t="s">
        <v>3</v>
      </c>
      <c r="D3166" s="3" t="s">
        <v>33</v>
      </c>
      <c r="E3166" s="3" t="s">
        <v>5005</v>
      </c>
      <c r="F3166" s="4">
        <v>43816.618750000001</v>
      </c>
      <c r="G3166" s="3" t="s">
        <v>963</v>
      </c>
      <c r="H3166" s="3" t="s">
        <v>1392</v>
      </c>
      <c r="I3166" s="3" t="s">
        <v>7043</v>
      </c>
      <c r="J3166" s="3"/>
      <c r="K3166" s="3"/>
      <c r="L3166" s="5"/>
    </row>
    <row r="3167" spans="1:12" ht="28.8" x14ac:dyDescent="0.55000000000000004">
      <c r="A3167" s="9" t="str">
        <f>HYPERLINK("PDF\FOIA-FWS-2020-00724-0003166.pdf","FOIA-FWS-2020-00724-0003166")</f>
        <v>FOIA-FWS-2020-00724-0003166</v>
      </c>
      <c r="B3167" s="3" t="s">
        <v>5006</v>
      </c>
      <c r="C3167" s="3" t="s">
        <v>3</v>
      </c>
      <c r="D3167" s="3" t="s">
        <v>33</v>
      </c>
      <c r="E3167" s="3" t="s">
        <v>5005</v>
      </c>
      <c r="F3167" s="4">
        <v>43816.625694444447</v>
      </c>
      <c r="G3167" s="3" t="s">
        <v>1392</v>
      </c>
      <c r="H3167" s="3" t="s">
        <v>963</v>
      </c>
      <c r="I3167" s="3" t="s">
        <v>7043</v>
      </c>
      <c r="J3167" s="3"/>
      <c r="K3167" s="3"/>
      <c r="L3167" s="5"/>
    </row>
    <row r="3168" spans="1:12" ht="57.6" x14ac:dyDescent="0.55000000000000004">
      <c r="A3168" s="9" t="str">
        <f>HYPERLINK("PDF\FOIA-FWS-2020-00724-0003167.pdf","FOIA-FWS-2020-00724-0003167")</f>
        <v>FOIA-FWS-2020-00724-0003167</v>
      </c>
      <c r="B3168" s="3" t="s">
        <v>5007</v>
      </c>
      <c r="C3168" s="3" t="s">
        <v>3</v>
      </c>
      <c r="D3168" s="3" t="s">
        <v>33</v>
      </c>
      <c r="E3168" s="3" t="s">
        <v>5008</v>
      </c>
      <c r="F3168" s="4">
        <v>43816.628472222219</v>
      </c>
      <c r="G3168" s="3" t="s">
        <v>963</v>
      </c>
      <c r="H3168" s="3" t="s">
        <v>4807</v>
      </c>
      <c r="I3168" s="3" t="s">
        <v>7043</v>
      </c>
      <c r="J3168" s="3"/>
      <c r="K3168" s="3"/>
      <c r="L3168" s="5"/>
    </row>
    <row r="3169" spans="1:12" ht="28.8" x14ac:dyDescent="0.55000000000000004">
      <c r="A3169" s="9" t="str">
        <f>HYPERLINK("PDF\FOIA-FWS-2020-00724-0003168.pdf","FOIA-FWS-2020-00724-0003168")</f>
        <v>FOIA-FWS-2020-00724-0003168</v>
      </c>
      <c r="B3169" s="3" t="s">
        <v>5007</v>
      </c>
      <c r="C3169" s="3" t="s">
        <v>234</v>
      </c>
      <c r="D3169" s="3" t="s">
        <v>38</v>
      </c>
      <c r="E3169" s="3" t="s">
        <v>4519</v>
      </c>
      <c r="F3169" s="4">
        <v>43816.628472222219</v>
      </c>
      <c r="G3169" s="3"/>
      <c r="H3169" s="3"/>
      <c r="I3169" s="3" t="s">
        <v>7043</v>
      </c>
      <c r="J3169" s="3"/>
      <c r="K3169" s="3"/>
      <c r="L3169" s="5"/>
    </row>
    <row r="3170" spans="1:12" ht="28.8" x14ac:dyDescent="0.55000000000000004">
      <c r="A3170" s="9" t="str">
        <f>HYPERLINK("PDF\FOIA-FWS-2020-00724-0003169.pdf","FOIA-FWS-2020-00724-0003169")</f>
        <v>FOIA-FWS-2020-00724-0003169</v>
      </c>
      <c r="B3170" s="3" t="s">
        <v>5009</v>
      </c>
      <c r="C3170" s="3" t="s">
        <v>3</v>
      </c>
      <c r="D3170" s="3" t="s">
        <v>33</v>
      </c>
      <c r="E3170" s="3" t="s">
        <v>5011</v>
      </c>
      <c r="F3170" s="4">
        <v>43816.679166666669</v>
      </c>
      <c r="G3170" s="3" t="s">
        <v>963</v>
      </c>
      <c r="H3170" s="3" t="s">
        <v>5010</v>
      </c>
      <c r="I3170" s="3" t="s">
        <v>7043</v>
      </c>
      <c r="J3170" s="3"/>
      <c r="K3170" s="3"/>
      <c r="L3170" s="5"/>
    </row>
    <row r="3171" spans="1:12" ht="43.2" x14ac:dyDescent="0.55000000000000004">
      <c r="A3171" s="9" t="str">
        <f>HYPERLINK("PDF\FOIA-FWS-2020-00724-0003170.pdf","FOIA-FWS-2020-00724-0003170")</f>
        <v>FOIA-FWS-2020-00724-0003170</v>
      </c>
      <c r="B3171" s="3" t="s">
        <v>5012</v>
      </c>
      <c r="C3171" s="3" t="s">
        <v>3</v>
      </c>
      <c r="D3171" s="3" t="s">
        <v>33</v>
      </c>
      <c r="E3171" s="3" t="s">
        <v>5014</v>
      </c>
      <c r="F3171" s="4">
        <v>43816.680555555555</v>
      </c>
      <c r="G3171" s="3" t="s">
        <v>963</v>
      </c>
      <c r="H3171" s="3" t="s">
        <v>5013</v>
      </c>
      <c r="I3171" s="3" t="s">
        <v>864</v>
      </c>
      <c r="J3171" s="3" t="s">
        <v>7046</v>
      </c>
      <c r="K3171" s="3" t="s">
        <v>7036</v>
      </c>
      <c r="L3171" s="5"/>
    </row>
    <row r="3172" spans="1:12" ht="72" x14ac:dyDescent="0.55000000000000004">
      <c r="A3172" s="9" t="str">
        <f>HYPERLINK("PDF\FOIA-FWS-2020-00724-0003171.pdf","FOIA-FWS-2020-00724-0003171")</f>
        <v>FOIA-FWS-2020-00724-0003171</v>
      </c>
      <c r="B3172" s="3" t="s">
        <v>5012</v>
      </c>
      <c r="C3172" s="3" t="s">
        <v>234</v>
      </c>
      <c r="D3172" s="3" t="s">
        <v>33</v>
      </c>
      <c r="E3172" s="3" t="s">
        <v>867</v>
      </c>
      <c r="F3172" s="4">
        <v>43816.680555555555</v>
      </c>
      <c r="G3172" s="3" t="s">
        <v>2007</v>
      </c>
      <c r="H3172" s="3" t="s">
        <v>5015</v>
      </c>
      <c r="I3172" s="3" t="s">
        <v>864</v>
      </c>
      <c r="J3172" s="3" t="s">
        <v>7046</v>
      </c>
      <c r="K3172" s="3" t="s">
        <v>7036</v>
      </c>
      <c r="L3172" s="5"/>
    </row>
    <row r="3173" spans="1:12" ht="43.2" x14ac:dyDescent="0.55000000000000004">
      <c r="A3173" s="9" t="str">
        <f>HYPERLINK("PDF\FOIA-FWS-2020-00724-0003172.pdf","FOIA-FWS-2020-00724-0003172")</f>
        <v>FOIA-FWS-2020-00724-0003172</v>
      </c>
      <c r="B3173" s="3" t="s">
        <v>5016</v>
      </c>
      <c r="C3173" s="3" t="s">
        <v>3</v>
      </c>
      <c r="D3173" s="3" t="s">
        <v>33</v>
      </c>
      <c r="E3173" s="3" t="s">
        <v>5018</v>
      </c>
      <c r="F3173" s="4">
        <v>43816.680555555555</v>
      </c>
      <c r="G3173" s="3" t="s">
        <v>963</v>
      </c>
      <c r="H3173" s="3" t="s">
        <v>5017</v>
      </c>
      <c r="I3173" s="3" t="s">
        <v>864</v>
      </c>
      <c r="J3173" s="3" t="s">
        <v>7046</v>
      </c>
      <c r="K3173" s="3" t="s">
        <v>7036</v>
      </c>
      <c r="L3173" s="5"/>
    </row>
    <row r="3174" spans="1:12" ht="72" x14ac:dyDescent="0.55000000000000004">
      <c r="A3174" s="9" t="str">
        <f>HYPERLINK("PDF\FOIA-FWS-2020-00724-0003173.pdf","FOIA-FWS-2020-00724-0003173")</f>
        <v>FOIA-FWS-2020-00724-0003173</v>
      </c>
      <c r="B3174" s="3" t="s">
        <v>5016</v>
      </c>
      <c r="C3174" s="3" t="s">
        <v>234</v>
      </c>
      <c r="D3174" s="3" t="s">
        <v>33</v>
      </c>
      <c r="E3174" s="3" t="s">
        <v>867</v>
      </c>
      <c r="F3174" s="4">
        <v>43816.680555555555</v>
      </c>
      <c r="G3174" s="3" t="s">
        <v>2007</v>
      </c>
      <c r="H3174" s="3" t="s">
        <v>5019</v>
      </c>
      <c r="I3174" s="3" t="s">
        <v>864</v>
      </c>
      <c r="J3174" s="3" t="s">
        <v>7046</v>
      </c>
      <c r="K3174" s="3" t="s">
        <v>7036</v>
      </c>
      <c r="L3174" s="5"/>
    </row>
    <row r="3175" spans="1:12" ht="57.6" x14ac:dyDescent="0.55000000000000004">
      <c r="A3175" s="9" t="str">
        <f>HYPERLINK("PDF\FOIA-FWS-2020-00724-0003174.pdf","FOIA-FWS-2020-00724-0003174")</f>
        <v>FOIA-FWS-2020-00724-0003174</v>
      </c>
      <c r="B3175" s="3" t="s">
        <v>5020</v>
      </c>
      <c r="C3175" s="3" t="s">
        <v>3</v>
      </c>
      <c r="D3175" s="3" t="s">
        <v>33</v>
      </c>
      <c r="E3175" s="3" t="s">
        <v>5022</v>
      </c>
      <c r="F3175" s="4">
        <v>43816.684027777781</v>
      </c>
      <c r="G3175" s="3" t="s">
        <v>963</v>
      </c>
      <c r="H3175" s="3" t="s">
        <v>5021</v>
      </c>
      <c r="I3175" s="3" t="s">
        <v>7043</v>
      </c>
      <c r="J3175" s="3"/>
      <c r="K3175" s="3"/>
      <c r="L3175" s="5"/>
    </row>
    <row r="3176" spans="1:12" ht="28.8" x14ac:dyDescent="0.55000000000000004">
      <c r="A3176" s="9" t="str">
        <f>HYPERLINK("PDF\FOIA-FWS-2020-00724-0003175.pdf","FOIA-FWS-2020-00724-0003175")</f>
        <v>FOIA-FWS-2020-00724-0003175</v>
      </c>
      <c r="B3176" s="3" t="s">
        <v>5020</v>
      </c>
      <c r="C3176" s="3" t="s">
        <v>234</v>
      </c>
      <c r="D3176" s="3" t="s">
        <v>38</v>
      </c>
      <c r="E3176" s="3" t="s">
        <v>4519</v>
      </c>
      <c r="F3176" s="4">
        <v>43816.684027777781</v>
      </c>
      <c r="G3176" s="3"/>
      <c r="H3176" s="3"/>
      <c r="I3176" s="3" t="s">
        <v>7043</v>
      </c>
      <c r="J3176" s="3"/>
      <c r="K3176" s="3"/>
      <c r="L3176" s="5"/>
    </row>
    <row r="3177" spans="1:12" ht="28.8" x14ac:dyDescent="0.55000000000000004">
      <c r="A3177" s="9" t="str">
        <f>HYPERLINK("PDF\FOIA-FWS-2020-00724-0003176.pdf","FOIA-FWS-2020-00724-0003176")</f>
        <v>FOIA-FWS-2020-00724-0003176</v>
      </c>
      <c r="B3177" s="3" t="s">
        <v>5023</v>
      </c>
      <c r="C3177" s="3" t="s">
        <v>3</v>
      </c>
      <c r="D3177" s="3" t="s">
        <v>33</v>
      </c>
      <c r="E3177" s="3" t="s">
        <v>5024</v>
      </c>
      <c r="F3177" s="4">
        <v>43817</v>
      </c>
      <c r="G3177" s="3"/>
      <c r="H3177" s="3"/>
      <c r="I3177" s="3" t="s">
        <v>7043</v>
      </c>
      <c r="J3177" s="3"/>
      <c r="K3177" s="3"/>
      <c r="L3177" s="5"/>
    </row>
    <row r="3178" spans="1:12" ht="28.8" x14ac:dyDescent="0.55000000000000004">
      <c r="A3178" s="9" t="str">
        <f>HYPERLINK("PDF\FOIA-FWS-2020-00724-0003177.pdf","FOIA-FWS-2020-00724-0003177")</f>
        <v>FOIA-FWS-2020-00724-0003177</v>
      </c>
      <c r="B3178" s="3" t="s">
        <v>5025</v>
      </c>
      <c r="C3178" s="3" t="s">
        <v>3</v>
      </c>
      <c r="D3178" s="3" t="s">
        <v>33</v>
      </c>
      <c r="E3178" s="3" t="s">
        <v>5026</v>
      </c>
      <c r="F3178" s="4">
        <v>43817</v>
      </c>
      <c r="G3178" s="3"/>
      <c r="H3178" s="3"/>
      <c r="I3178" s="3" t="s">
        <v>7043</v>
      </c>
      <c r="J3178" s="3"/>
      <c r="K3178" s="3"/>
      <c r="L3178" s="5"/>
    </row>
    <row r="3179" spans="1:12" ht="28.8" x14ac:dyDescent="0.55000000000000004">
      <c r="A3179" s="9" t="str">
        <f>HYPERLINK("PDF\FOIA-FWS-2020-00724-0003178.pdf","FOIA-FWS-2020-00724-0003178")</f>
        <v>FOIA-FWS-2020-00724-0003178</v>
      </c>
      <c r="B3179" s="3" t="s">
        <v>5027</v>
      </c>
      <c r="C3179" s="3" t="s">
        <v>3</v>
      </c>
      <c r="D3179" s="3" t="s">
        <v>33</v>
      </c>
      <c r="E3179" s="3" t="s">
        <v>5028</v>
      </c>
      <c r="F3179" s="4">
        <v>43817.506944444445</v>
      </c>
      <c r="G3179" s="3" t="s">
        <v>963</v>
      </c>
      <c r="H3179" s="3" t="s">
        <v>1392</v>
      </c>
      <c r="I3179" s="3" t="s">
        <v>7043</v>
      </c>
      <c r="J3179" s="3"/>
      <c r="K3179" s="3"/>
      <c r="L3179" s="5"/>
    </row>
    <row r="3180" spans="1:12" ht="72" x14ac:dyDescent="0.55000000000000004">
      <c r="A3180" s="9" t="str">
        <f>HYPERLINK("PDF\FOIA-FWS-2020-00724-0003179.pdf","FOIA-FWS-2020-00724-0003179")</f>
        <v>FOIA-FWS-2020-00724-0003179</v>
      </c>
      <c r="B3180" s="3" t="s">
        <v>5029</v>
      </c>
      <c r="C3180" s="3" t="s">
        <v>3</v>
      </c>
      <c r="D3180" s="3" t="s">
        <v>33</v>
      </c>
      <c r="E3180" s="3" t="s">
        <v>5030</v>
      </c>
      <c r="F3180" s="4">
        <v>43817.53125</v>
      </c>
      <c r="G3180" s="3" t="s">
        <v>955</v>
      </c>
      <c r="H3180" s="3" t="s">
        <v>963</v>
      </c>
      <c r="I3180" s="3" t="s">
        <v>7043</v>
      </c>
      <c r="J3180" s="3"/>
      <c r="K3180" s="3"/>
      <c r="L3180" s="5"/>
    </row>
    <row r="3181" spans="1:12" ht="86.4" x14ac:dyDescent="0.55000000000000004">
      <c r="A3181" s="9" t="str">
        <f>HYPERLINK("PDF\FOIA-FWS-2020-00724-0003180.pdf","FOIA-FWS-2020-00724-0003180")</f>
        <v>FOIA-FWS-2020-00724-0003180</v>
      </c>
      <c r="B3181" s="3" t="s">
        <v>5031</v>
      </c>
      <c r="C3181" s="3" t="s">
        <v>3</v>
      </c>
      <c r="D3181" s="3" t="s">
        <v>33</v>
      </c>
      <c r="E3181" s="3" t="s">
        <v>5032</v>
      </c>
      <c r="F3181" s="4">
        <v>43817.549305555556</v>
      </c>
      <c r="G3181" s="3" t="s">
        <v>3754</v>
      </c>
      <c r="H3181" s="3" t="s">
        <v>963</v>
      </c>
      <c r="I3181" s="3" t="s">
        <v>7043</v>
      </c>
      <c r="J3181" s="3"/>
      <c r="K3181" s="3"/>
      <c r="L3181" s="5"/>
    </row>
    <row r="3182" spans="1:12" ht="28.8" x14ac:dyDescent="0.55000000000000004">
      <c r="A3182" s="9" t="str">
        <f>HYPERLINK("PDF\FOIA-FWS-2020-00724-0003181.pdf","FOIA-FWS-2020-00724-0003181")</f>
        <v>FOIA-FWS-2020-00724-0003181</v>
      </c>
      <c r="B3182" s="3" t="s">
        <v>5031</v>
      </c>
      <c r="C3182" s="3" t="s">
        <v>234</v>
      </c>
      <c r="D3182" s="3" t="s">
        <v>38</v>
      </c>
      <c r="E3182" s="3" t="s">
        <v>4822</v>
      </c>
      <c r="F3182" s="4">
        <v>43817.549305555556</v>
      </c>
      <c r="G3182" s="3"/>
      <c r="H3182" s="3"/>
      <c r="I3182" s="3" t="s">
        <v>7043</v>
      </c>
      <c r="J3182" s="3"/>
      <c r="K3182" s="3"/>
      <c r="L3182" s="5"/>
    </row>
    <row r="3183" spans="1:12" ht="57.6" x14ac:dyDescent="0.55000000000000004">
      <c r="A3183" s="9" t="str">
        <f>HYPERLINK("PDF\FOIA-FWS-2020-00724-0003182.pdf","FOIA-FWS-2020-00724-0003182")</f>
        <v>FOIA-FWS-2020-00724-0003182</v>
      </c>
      <c r="B3183" s="3" t="s">
        <v>5033</v>
      </c>
      <c r="C3183" s="3" t="s">
        <v>3</v>
      </c>
      <c r="D3183" s="3" t="s">
        <v>33</v>
      </c>
      <c r="E3183" s="3" t="s">
        <v>5035</v>
      </c>
      <c r="F3183" s="4">
        <v>43817.563194444447</v>
      </c>
      <c r="G3183" s="3" t="s">
        <v>963</v>
      </c>
      <c r="H3183" s="3" t="s">
        <v>5034</v>
      </c>
      <c r="I3183" s="3" t="s">
        <v>7043</v>
      </c>
      <c r="J3183" s="3"/>
      <c r="K3183" s="3"/>
      <c r="L3183" s="5"/>
    </row>
    <row r="3184" spans="1:12" ht="28.8" x14ac:dyDescent="0.55000000000000004">
      <c r="A3184" s="9" t="str">
        <f>HYPERLINK("PDF\FOIA-FWS-2020-00724-0003183.pdf","FOIA-FWS-2020-00724-0003183")</f>
        <v>FOIA-FWS-2020-00724-0003183</v>
      </c>
      <c r="B3184" s="3" t="s">
        <v>5036</v>
      </c>
      <c r="C3184" s="3" t="s">
        <v>3</v>
      </c>
      <c r="D3184" s="3" t="s">
        <v>33</v>
      </c>
      <c r="E3184" s="3" t="s">
        <v>5037</v>
      </c>
      <c r="F3184" s="4">
        <v>43817.567361111112</v>
      </c>
      <c r="G3184" s="3" t="s">
        <v>1489</v>
      </c>
      <c r="H3184" s="3" t="s">
        <v>1119</v>
      </c>
      <c r="I3184" s="3" t="s">
        <v>7043</v>
      </c>
      <c r="J3184" s="3"/>
      <c r="K3184" s="3"/>
      <c r="L3184" s="5"/>
    </row>
    <row r="3185" spans="1:12" ht="28.8" x14ac:dyDescent="0.55000000000000004">
      <c r="A3185" s="9" t="str">
        <f>HYPERLINK("PDF\FOIA-FWS-2020-00724-0003184.pdf","FOIA-FWS-2020-00724-0003184")</f>
        <v>FOIA-FWS-2020-00724-0003184</v>
      </c>
      <c r="B3185" s="3" t="s">
        <v>5036</v>
      </c>
      <c r="C3185" s="3" t="s">
        <v>234</v>
      </c>
      <c r="D3185" s="3" t="s">
        <v>160</v>
      </c>
      <c r="E3185" s="3" t="s">
        <v>5038</v>
      </c>
      <c r="F3185" s="4">
        <v>43817.567361111112</v>
      </c>
      <c r="G3185" s="3"/>
      <c r="H3185" s="3"/>
      <c r="I3185" s="3" t="s">
        <v>7043</v>
      </c>
      <c r="J3185" s="3"/>
      <c r="K3185" s="3"/>
      <c r="L3185" s="5" t="str">
        <f>HYPERLINK("NATIVE_FILES\FOIA-FWS-2020-00724-0003184.lyr","FOIA-FWS-2020-00724-0003184.lyr")</f>
        <v>FOIA-FWS-2020-00724-0003184.lyr</v>
      </c>
    </row>
    <row r="3186" spans="1:12" ht="28.8" x14ac:dyDescent="0.55000000000000004">
      <c r="A3186" s="9" t="str">
        <f>HYPERLINK("PDF\FOIA-FWS-2020-00724-0003185.pdf","FOIA-FWS-2020-00724-0003185")</f>
        <v>FOIA-FWS-2020-00724-0003185</v>
      </c>
      <c r="B3186" s="3" t="s">
        <v>5036</v>
      </c>
      <c r="C3186" s="3" t="s">
        <v>234</v>
      </c>
      <c r="D3186" s="3" t="s">
        <v>160</v>
      </c>
      <c r="E3186" s="3" t="s">
        <v>5039</v>
      </c>
      <c r="F3186" s="4">
        <v>43817.567361111112</v>
      </c>
      <c r="G3186" s="3"/>
      <c r="H3186" s="3"/>
      <c r="I3186" s="3" t="s">
        <v>7043</v>
      </c>
      <c r="J3186" s="3"/>
      <c r="K3186" s="3"/>
      <c r="L3186" s="5" t="str">
        <f>HYPERLINK("NATIVE_FILES\FOIA-FWS-2020-00724-0003185.lyr","FOIA-FWS-2020-00724-0003185.lyr")</f>
        <v>FOIA-FWS-2020-00724-0003185.lyr</v>
      </c>
    </row>
    <row r="3187" spans="1:12" ht="144" x14ac:dyDescent="0.55000000000000004">
      <c r="A3187" s="9" t="str">
        <f>HYPERLINK("PDF\FOIA-FWS-2020-00724-0003186.pdf","FOIA-FWS-2020-00724-0003186")</f>
        <v>FOIA-FWS-2020-00724-0003186</v>
      </c>
      <c r="B3187" s="3" t="s">
        <v>5040</v>
      </c>
      <c r="C3187" s="3" t="s">
        <v>3</v>
      </c>
      <c r="D3187" s="3" t="s">
        <v>33</v>
      </c>
      <c r="E3187" s="3" t="s">
        <v>5041</v>
      </c>
      <c r="F3187" s="4">
        <v>43817.573611111111</v>
      </c>
      <c r="G3187" s="3" t="s">
        <v>963</v>
      </c>
      <c r="H3187" s="3" t="s">
        <v>5021</v>
      </c>
      <c r="I3187" s="3" t="s">
        <v>7043</v>
      </c>
      <c r="J3187" s="3"/>
      <c r="K3187" s="3"/>
      <c r="L3187" s="5"/>
    </row>
    <row r="3188" spans="1:12" ht="28.8" x14ac:dyDescent="0.55000000000000004">
      <c r="A3188" s="9" t="str">
        <f>HYPERLINK("PDF\FOIA-FWS-2020-00724-0003187.pdf","FOIA-FWS-2020-00724-0003187")</f>
        <v>FOIA-FWS-2020-00724-0003187</v>
      </c>
      <c r="B3188" s="3" t="s">
        <v>5042</v>
      </c>
      <c r="C3188" s="3" t="s">
        <v>3</v>
      </c>
      <c r="D3188" s="3" t="s">
        <v>33</v>
      </c>
      <c r="E3188" s="3" t="s">
        <v>5043</v>
      </c>
      <c r="F3188" s="4">
        <v>43817.65</v>
      </c>
      <c r="G3188" s="3" t="s">
        <v>955</v>
      </c>
      <c r="H3188" s="3" t="s">
        <v>1119</v>
      </c>
      <c r="I3188" s="3" t="s">
        <v>7043</v>
      </c>
      <c r="J3188" s="3"/>
      <c r="K3188" s="3"/>
      <c r="L3188" s="5"/>
    </row>
    <row r="3189" spans="1:12" ht="28.8" x14ac:dyDescent="0.55000000000000004">
      <c r="A3189" s="9" t="str">
        <f>HYPERLINK("PDF\FOIA-FWS-2020-00724-0003188.pdf","FOIA-FWS-2020-00724-0003188")</f>
        <v>FOIA-FWS-2020-00724-0003188</v>
      </c>
      <c r="B3189" s="3" t="s">
        <v>5042</v>
      </c>
      <c r="C3189" s="3" t="s">
        <v>234</v>
      </c>
      <c r="D3189" s="3" t="s">
        <v>33</v>
      </c>
      <c r="E3189" s="3" t="s">
        <v>5044</v>
      </c>
      <c r="F3189" s="4">
        <v>43817.65</v>
      </c>
      <c r="G3189" s="3"/>
      <c r="H3189" s="3"/>
      <c r="I3189" s="3" t="s">
        <v>7043</v>
      </c>
      <c r="J3189" s="3"/>
      <c r="K3189" s="3"/>
      <c r="L3189" s="5"/>
    </row>
    <row r="3190" spans="1:12" ht="57.6" x14ac:dyDescent="0.55000000000000004">
      <c r="A3190" s="9" t="str">
        <f>HYPERLINK("PDF\FOIA-FWS-2020-00724-0003189.pdf","FOIA-FWS-2020-00724-0003189")</f>
        <v>FOIA-FWS-2020-00724-0003189</v>
      </c>
      <c r="B3190" s="3" t="s">
        <v>5045</v>
      </c>
      <c r="C3190" s="3" t="s">
        <v>3</v>
      </c>
      <c r="D3190" s="3" t="s">
        <v>33</v>
      </c>
      <c r="E3190" s="3" t="s">
        <v>5046</v>
      </c>
      <c r="F3190" s="4">
        <v>43817.684027777781</v>
      </c>
      <c r="G3190" s="3" t="s">
        <v>4328</v>
      </c>
      <c r="H3190" s="3"/>
      <c r="I3190" s="3" t="s">
        <v>7043</v>
      </c>
      <c r="J3190" s="3"/>
      <c r="K3190" s="3"/>
      <c r="L3190" s="5"/>
    </row>
    <row r="3191" spans="1:12" ht="28.8" x14ac:dyDescent="0.55000000000000004">
      <c r="A3191" s="9" t="str">
        <f>HYPERLINK("PDF\FOIA-FWS-2020-00724-0003190.pdf","FOIA-FWS-2020-00724-0003190")</f>
        <v>FOIA-FWS-2020-00724-0003190</v>
      </c>
      <c r="B3191" s="3" t="s">
        <v>5047</v>
      </c>
      <c r="C3191" s="3" t="s">
        <v>3</v>
      </c>
      <c r="D3191" s="3" t="s">
        <v>33</v>
      </c>
      <c r="E3191" s="3" t="s">
        <v>5048</v>
      </c>
      <c r="F3191" s="4">
        <v>43817.781944444447</v>
      </c>
      <c r="G3191" s="3" t="s">
        <v>963</v>
      </c>
      <c r="H3191" s="3" t="s">
        <v>945</v>
      </c>
      <c r="I3191" s="3" t="s">
        <v>7043</v>
      </c>
      <c r="J3191" s="3"/>
      <c r="K3191" s="3"/>
      <c r="L3191" s="5"/>
    </row>
    <row r="3192" spans="1:12" ht="28.8" x14ac:dyDescent="0.55000000000000004">
      <c r="A3192" s="9" t="str">
        <f>HYPERLINK("PDF\FOIA-FWS-2020-00724-0003191.pdf","FOIA-FWS-2020-00724-0003191")</f>
        <v>FOIA-FWS-2020-00724-0003191</v>
      </c>
      <c r="B3192" s="3" t="s">
        <v>5049</v>
      </c>
      <c r="C3192" s="3" t="s">
        <v>3</v>
      </c>
      <c r="D3192" s="3" t="s">
        <v>33</v>
      </c>
      <c r="E3192" s="3" t="s">
        <v>2638</v>
      </c>
      <c r="F3192" s="4">
        <v>43817.794444444444</v>
      </c>
      <c r="G3192" s="3" t="s">
        <v>955</v>
      </c>
      <c r="H3192" s="3" t="s">
        <v>1119</v>
      </c>
      <c r="I3192" s="3" t="s">
        <v>7043</v>
      </c>
      <c r="J3192" s="3"/>
      <c r="K3192" s="3"/>
      <c r="L3192" s="5"/>
    </row>
    <row r="3193" spans="1:12" ht="28.8" x14ac:dyDescent="0.55000000000000004">
      <c r="A3193" s="9" t="str">
        <f>HYPERLINK("PDF\FOIA-FWS-2020-00724-0003192.pdf","FOIA-FWS-2020-00724-0003192")</f>
        <v>FOIA-FWS-2020-00724-0003192</v>
      </c>
      <c r="B3193" s="3" t="s">
        <v>5049</v>
      </c>
      <c r="C3193" s="3" t="s">
        <v>234</v>
      </c>
      <c r="D3193" s="3" t="s">
        <v>33</v>
      </c>
      <c r="E3193" s="3" t="s">
        <v>5050</v>
      </c>
      <c r="F3193" s="4">
        <v>43817.794444444444</v>
      </c>
      <c r="G3193" s="3"/>
      <c r="H3193" s="3"/>
      <c r="I3193" s="3" t="s">
        <v>7043</v>
      </c>
      <c r="J3193" s="3"/>
      <c r="K3193" s="3"/>
      <c r="L3193" s="5"/>
    </row>
    <row r="3194" spans="1:12" ht="28.8" x14ac:dyDescent="0.55000000000000004">
      <c r="A3194" s="9" t="str">
        <f>HYPERLINK("PDF\FOIA-FWS-2020-00724-0003193.pdf","FOIA-FWS-2020-00724-0003193")</f>
        <v>FOIA-FWS-2020-00724-0003193</v>
      </c>
      <c r="B3194" s="3" t="s">
        <v>5051</v>
      </c>
      <c r="C3194" s="3" t="s">
        <v>3</v>
      </c>
      <c r="D3194" s="3" t="s">
        <v>33</v>
      </c>
      <c r="E3194" s="3" t="s">
        <v>5052</v>
      </c>
      <c r="F3194" s="4">
        <v>43817.87222222222</v>
      </c>
      <c r="G3194" s="3" t="s">
        <v>861</v>
      </c>
      <c r="H3194" s="3" t="s">
        <v>7066</v>
      </c>
      <c r="I3194" s="3" t="s">
        <v>7043</v>
      </c>
      <c r="J3194" s="3"/>
      <c r="K3194" s="3"/>
      <c r="L3194" s="5"/>
    </row>
    <row r="3195" spans="1:12" ht="28.8" x14ac:dyDescent="0.55000000000000004">
      <c r="A3195" s="9" t="str">
        <f>HYPERLINK("PDF\FOIA-FWS-2020-00724-0003194.pdf","FOIA-FWS-2020-00724-0003194")</f>
        <v>FOIA-FWS-2020-00724-0003194</v>
      </c>
      <c r="B3195" s="3" t="s">
        <v>5053</v>
      </c>
      <c r="C3195" s="3" t="s">
        <v>3</v>
      </c>
      <c r="D3195" s="3" t="s">
        <v>51</v>
      </c>
      <c r="E3195" s="3" t="s">
        <v>5054</v>
      </c>
      <c r="F3195" s="4">
        <v>43818</v>
      </c>
      <c r="G3195" s="3"/>
      <c r="H3195" s="3"/>
      <c r="I3195" s="3" t="s">
        <v>7043</v>
      </c>
      <c r="J3195" s="3"/>
      <c r="K3195" s="3"/>
      <c r="L3195" s="5"/>
    </row>
    <row r="3196" spans="1:12" ht="28.8" x14ac:dyDescent="0.55000000000000004">
      <c r="A3196" s="9" t="str">
        <f>HYPERLINK("PDF\FOIA-FWS-2020-00724-0003195.pdf","FOIA-FWS-2020-00724-0003195")</f>
        <v>FOIA-FWS-2020-00724-0003195</v>
      </c>
      <c r="B3196" s="3" t="s">
        <v>5055</v>
      </c>
      <c r="C3196" s="3" t="s">
        <v>3</v>
      </c>
      <c r="D3196" s="3" t="s">
        <v>33</v>
      </c>
      <c r="E3196" s="3" t="s">
        <v>5056</v>
      </c>
      <c r="F3196" s="4">
        <v>43818.553472222222</v>
      </c>
      <c r="G3196" s="3" t="s">
        <v>1119</v>
      </c>
      <c r="H3196" s="3" t="s">
        <v>955</v>
      </c>
      <c r="I3196" s="3" t="s">
        <v>7043</v>
      </c>
      <c r="J3196" s="3"/>
      <c r="K3196" s="3"/>
      <c r="L3196" s="5"/>
    </row>
    <row r="3197" spans="1:12" ht="28.8" x14ac:dyDescent="0.55000000000000004">
      <c r="A3197" s="9" t="str">
        <f>HYPERLINK("PDF\FOIA-FWS-2020-00724-0003196.pdf","FOIA-FWS-2020-00724-0003196")</f>
        <v>FOIA-FWS-2020-00724-0003196</v>
      </c>
      <c r="B3197" s="3" t="s">
        <v>5055</v>
      </c>
      <c r="C3197" s="3" t="s">
        <v>234</v>
      </c>
      <c r="D3197" s="3" t="s">
        <v>33</v>
      </c>
      <c r="E3197" s="3" t="s">
        <v>5057</v>
      </c>
      <c r="F3197" s="4">
        <v>43818.553472222222</v>
      </c>
      <c r="G3197" s="3"/>
      <c r="H3197" s="3"/>
      <c r="I3197" s="3" t="s">
        <v>7043</v>
      </c>
      <c r="J3197" s="3"/>
      <c r="K3197" s="3"/>
      <c r="L3197" s="5"/>
    </row>
    <row r="3198" spans="1:12" ht="28.8" x14ac:dyDescent="0.55000000000000004">
      <c r="A3198" s="9" t="str">
        <f>HYPERLINK("PDF\FOIA-FWS-2020-00724-0003197.pdf","FOIA-FWS-2020-00724-0003197")</f>
        <v>FOIA-FWS-2020-00724-0003197</v>
      </c>
      <c r="B3198" s="3" t="s">
        <v>5058</v>
      </c>
      <c r="C3198" s="3" t="s">
        <v>3</v>
      </c>
      <c r="D3198" s="3" t="s">
        <v>33</v>
      </c>
      <c r="E3198" s="3" t="s">
        <v>5059</v>
      </c>
      <c r="F3198" s="4">
        <v>43818.615277777775</v>
      </c>
      <c r="G3198" s="3" t="s">
        <v>1119</v>
      </c>
      <c r="H3198" s="3" t="s">
        <v>955</v>
      </c>
      <c r="I3198" s="3" t="s">
        <v>7043</v>
      </c>
      <c r="J3198" s="3"/>
      <c r="K3198" s="3"/>
      <c r="L3198" s="5"/>
    </row>
    <row r="3199" spans="1:12" ht="28.8" x14ac:dyDescent="0.55000000000000004">
      <c r="A3199" s="9" t="str">
        <f>HYPERLINK("PDF\FOIA-FWS-2020-00724-0003198.pdf","FOIA-FWS-2020-00724-0003198")</f>
        <v>FOIA-FWS-2020-00724-0003198</v>
      </c>
      <c r="B3199" s="3" t="s">
        <v>5060</v>
      </c>
      <c r="C3199" s="3" t="s">
        <v>3</v>
      </c>
      <c r="D3199" s="3" t="s">
        <v>33</v>
      </c>
      <c r="E3199" s="3" t="s">
        <v>5056</v>
      </c>
      <c r="F3199" s="4">
        <v>43818.615972222222</v>
      </c>
      <c r="G3199" s="3" t="s">
        <v>1119</v>
      </c>
      <c r="H3199" s="3" t="s">
        <v>955</v>
      </c>
      <c r="I3199" s="3" t="s">
        <v>7043</v>
      </c>
      <c r="J3199" s="3"/>
      <c r="K3199" s="3"/>
      <c r="L3199" s="5"/>
    </row>
    <row r="3200" spans="1:12" ht="28.8" x14ac:dyDescent="0.55000000000000004">
      <c r="A3200" s="9" t="str">
        <f>HYPERLINK("PDF\FOIA-FWS-2020-00724-0003199.pdf","FOIA-FWS-2020-00724-0003199")</f>
        <v>FOIA-FWS-2020-00724-0003199</v>
      </c>
      <c r="B3200" s="3" t="s">
        <v>5061</v>
      </c>
      <c r="C3200" s="3" t="s">
        <v>3</v>
      </c>
      <c r="D3200" s="3" t="s">
        <v>33</v>
      </c>
      <c r="E3200" s="3" t="s">
        <v>5063</v>
      </c>
      <c r="F3200" s="4">
        <v>43818.621527777781</v>
      </c>
      <c r="G3200" s="3" t="s">
        <v>1392</v>
      </c>
      <c r="H3200" s="3" t="s">
        <v>5062</v>
      </c>
      <c r="I3200" s="3" t="s">
        <v>7043</v>
      </c>
      <c r="J3200" s="3"/>
      <c r="K3200" s="3"/>
      <c r="L3200" s="5"/>
    </row>
    <row r="3201" spans="1:12" ht="28.8" x14ac:dyDescent="0.55000000000000004">
      <c r="A3201" s="9" t="str">
        <f>HYPERLINK("PDF\FOIA-FWS-2020-00724-0003200.pdf","FOIA-FWS-2020-00724-0003200")</f>
        <v>FOIA-FWS-2020-00724-0003200</v>
      </c>
      <c r="B3201" s="3" t="s">
        <v>5064</v>
      </c>
      <c r="C3201" s="3" t="s">
        <v>3</v>
      </c>
      <c r="D3201" s="3" t="s">
        <v>33</v>
      </c>
      <c r="E3201" s="3" t="s">
        <v>5065</v>
      </c>
      <c r="F3201" s="4">
        <v>43818.753472222219</v>
      </c>
      <c r="G3201" s="3" t="s">
        <v>1119</v>
      </c>
      <c r="H3201" s="3" t="s">
        <v>955</v>
      </c>
      <c r="I3201" s="3" t="s">
        <v>7043</v>
      </c>
      <c r="J3201" s="3"/>
      <c r="K3201" s="3"/>
      <c r="L3201" s="5"/>
    </row>
    <row r="3202" spans="1:12" ht="28.8" x14ac:dyDescent="0.55000000000000004">
      <c r="A3202" s="9" t="str">
        <f>HYPERLINK("PDF\FOIA-FWS-2020-00724-0003201.pdf","FOIA-FWS-2020-00724-0003201")</f>
        <v>FOIA-FWS-2020-00724-0003201</v>
      </c>
      <c r="B3202" s="3" t="s">
        <v>5064</v>
      </c>
      <c r="C3202" s="3" t="s">
        <v>234</v>
      </c>
      <c r="D3202" s="3" t="s">
        <v>33</v>
      </c>
      <c r="E3202" s="3" t="s">
        <v>5066</v>
      </c>
      <c r="F3202" s="4">
        <v>43818.753472222219</v>
      </c>
      <c r="G3202" s="3"/>
      <c r="H3202" s="3"/>
      <c r="I3202" s="3" t="s">
        <v>7043</v>
      </c>
      <c r="J3202" s="3"/>
      <c r="K3202" s="3"/>
      <c r="L3202" s="5"/>
    </row>
    <row r="3203" spans="1:12" ht="28.8" x14ac:dyDescent="0.55000000000000004">
      <c r="A3203" s="9" t="str">
        <f>HYPERLINK("PDF\FOIA-FWS-2020-00724-0003202.pdf","FOIA-FWS-2020-00724-0003202")</f>
        <v>FOIA-FWS-2020-00724-0003202</v>
      </c>
      <c r="B3203" s="3" t="s">
        <v>5067</v>
      </c>
      <c r="C3203" s="3" t="s">
        <v>3</v>
      </c>
      <c r="D3203" s="3" t="s">
        <v>33</v>
      </c>
      <c r="E3203" s="3" t="s">
        <v>5068</v>
      </c>
      <c r="F3203" s="4">
        <v>43818.787499999999</v>
      </c>
      <c r="G3203" s="3" t="s">
        <v>872</v>
      </c>
      <c r="H3203" s="3" t="s">
        <v>955</v>
      </c>
      <c r="I3203" s="3" t="s">
        <v>7043</v>
      </c>
      <c r="J3203" s="3"/>
      <c r="K3203" s="3"/>
      <c r="L3203" s="5"/>
    </row>
    <row r="3204" spans="1:12" ht="28.8" x14ac:dyDescent="0.55000000000000004">
      <c r="A3204" s="9" t="str">
        <f>HYPERLINK("PDF\FOIA-FWS-2020-00724-0003203.pdf","FOIA-FWS-2020-00724-0003203")</f>
        <v>FOIA-FWS-2020-00724-0003203</v>
      </c>
      <c r="B3204" s="3" t="s">
        <v>5067</v>
      </c>
      <c r="C3204" s="3" t="s">
        <v>234</v>
      </c>
      <c r="D3204" s="3" t="s">
        <v>33</v>
      </c>
      <c r="E3204" s="3" t="s">
        <v>5069</v>
      </c>
      <c r="F3204" s="4">
        <v>43818.787499999999</v>
      </c>
      <c r="G3204" s="3"/>
      <c r="H3204" s="3"/>
      <c r="I3204" s="3" t="s">
        <v>7043</v>
      </c>
      <c r="J3204" s="3"/>
      <c r="K3204" s="3"/>
      <c r="L3204" s="5"/>
    </row>
    <row r="3205" spans="1:12" ht="28.8" x14ac:dyDescent="0.55000000000000004">
      <c r="A3205" s="9" t="str">
        <f>HYPERLINK("PDF\FOIA-FWS-2020-00724-0003204.pdf","FOIA-FWS-2020-00724-0003204")</f>
        <v>FOIA-FWS-2020-00724-0003204</v>
      </c>
      <c r="B3205" s="3" t="s">
        <v>5067</v>
      </c>
      <c r="C3205" s="3" t="s">
        <v>234</v>
      </c>
      <c r="D3205" s="3" t="s">
        <v>33</v>
      </c>
      <c r="E3205" s="3" t="s">
        <v>5070</v>
      </c>
      <c r="F3205" s="4">
        <v>43818.787499999999</v>
      </c>
      <c r="G3205" s="3"/>
      <c r="H3205" s="3"/>
      <c r="I3205" s="3" t="s">
        <v>7043</v>
      </c>
      <c r="J3205" s="3"/>
      <c r="K3205" s="3"/>
      <c r="L3205" s="5"/>
    </row>
    <row r="3206" spans="1:12" ht="28.8" x14ac:dyDescent="0.55000000000000004">
      <c r="A3206" s="9" t="str">
        <f>HYPERLINK("PDF\FOIA-FWS-2020-00724-0003205.pdf","FOIA-FWS-2020-00724-0003205")</f>
        <v>FOIA-FWS-2020-00724-0003205</v>
      </c>
      <c r="B3206" s="3" t="s">
        <v>5067</v>
      </c>
      <c r="C3206" s="3" t="s">
        <v>234</v>
      </c>
      <c r="D3206" s="3" t="s">
        <v>33</v>
      </c>
      <c r="E3206" s="3" t="s">
        <v>5071</v>
      </c>
      <c r="F3206" s="4">
        <v>43818.787499999999</v>
      </c>
      <c r="G3206" s="3"/>
      <c r="H3206" s="3"/>
      <c r="I3206" s="3" t="s">
        <v>7043</v>
      </c>
      <c r="J3206" s="3"/>
      <c r="K3206" s="3"/>
      <c r="L3206" s="5"/>
    </row>
    <row r="3207" spans="1:12" ht="28.8" x14ac:dyDescent="0.55000000000000004">
      <c r="A3207" s="9" t="str">
        <f>HYPERLINK("PDF\FOIA-FWS-2020-00724-0003206.pdf","FOIA-FWS-2020-00724-0003206")</f>
        <v>FOIA-FWS-2020-00724-0003206</v>
      </c>
      <c r="B3207" s="3" t="s">
        <v>5067</v>
      </c>
      <c r="C3207" s="3" t="s">
        <v>234</v>
      </c>
      <c r="D3207" s="3" t="s">
        <v>33</v>
      </c>
      <c r="E3207" s="3" t="s">
        <v>5072</v>
      </c>
      <c r="F3207" s="4">
        <v>43818.787499999999</v>
      </c>
      <c r="G3207" s="3"/>
      <c r="H3207" s="3"/>
      <c r="I3207" s="3" t="s">
        <v>7043</v>
      </c>
      <c r="J3207" s="3"/>
      <c r="K3207" s="3"/>
      <c r="L3207" s="5"/>
    </row>
    <row r="3208" spans="1:12" ht="28.8" x14ac:dyDescent="0.55000000000000004">
      <c r="A3208" s="9" t="str">
        <f>HYPERLINK("PDF\FOIA-FWS-2020-00724-0003207.pdf","FOIA-FWS-2020-00724-0003207")</f>
        <v>FOIA-FWS-2020-00724-0003207</v>
      </c>
      <c r="B3208" s="3" t="s">
        <v>5067</v>
      </c>
      <c r="C3208" s="3" t="s">
        <v>234</v>
      </c>
      <c r="D3208" s="3" t="s">
        <v>51</v>
      </c>
      <c r="E3208" s="3" t="s">
        <v>5073</v>
      </c>
      <c r="F3208" s="4">
        <v>43818.787499999999</v>
      </c>
      <c r="G3208" s="3"/>
      <c r="H3208" s="3"/>
      <c r="I3208" s="3" t="s">
        <v>7043</v>
      </c>
      <c r="J3208" s="3"/>
      <c r="K3208" s="3"/>
      <c r="L3208" s="5"/>
    </row>
    <row r="3209" spans="1:12" ht="28.8" x14ac:dyDescent="0.55000000000000004">
      <c r="A3209" s="9" t="str">
        <f>HYPERLINK("PDF\FOIA-FWS-2020-00724-0003208.pdf","FOIA-FWS-2020-00724-0003208")</f>
        <v>FOIA-FWS-2020-00724-0003208</v>
      </c>
      <c r="B3209" s="3" t="s">
        <v>5074</v>
      </c>
      <c r="C3209" s="3" t="s">
        <v>3</v>
      </c>
      <c r="D3209" s="3" t="s">
        <v>38</v>
      </c>
      <c r="E3209" s="3" t="s">
        <v>5076</v>
      </c>
      <c r="F3209" s="4">
        <v>43819</v>
      </c>
      <c r="G3209" s="3" t="s">
        <v>5075</v>
      </c>
      <c r="H3209" s="3"/>
      <c r="I3209" s="3" t="s">
        <v>7043</v>
      </c>
      <c r="J3209" s="3"/>
      <c r="K3209" s="3"/>
      <c r="L3209" s="5"/>
    </row>
    <row r="3210" spans="1:12" ht="28.8" x14ac:dyDescent="0.55000000000000004">
      <c r="A3210" s="9" t="str">
        <f>HYPERLINK("PDF\FOIA-FWS-2020-00724-0003209.pdf","FOIA-FWS-2020-00724-0003209")</f>
        <v>FOIA-FWS-2020-00724-0003209</v>
      </c>
      <c r="B3210" s="3" t="s">
        <v>5077</v>
      </c>
      <c r="C3210" s="3" t="s">
        <v>3</v>
      </c>
      <c r="D3210" s="3" t="s">
        <v>38</v>
      </c>
      <c r="E3210" s="3" t="s">
        <v>5078</v>
      </c>
      <c r="F3210" s="4">
        <v>43819</v>
      </c>
      <c r="G3210" s="3" t="s">
        <v>2965</v>
      </c>
      <c r="H3210" s="3"/>
      <c r="I3210" s="3" t="s">
        <v>7043</v>
      </c>
      <c r="J3210" s="3"/>
      <c r="K3210" s="3"/>
      <c r="L3210" s="5"/>
    </row>
    <row r="3211" spans="1:12" ht="158.4" x14ac:dyDescent="0.55000000000000004">
      <c r="A3211" s="9" t="str">
        <f>HYPERLINK("PDF\FOIA-FWS-2020-00724-0003210.pdf","FOIA-FWS-2020-00724-0003210")</f>
        <v>FOIA-FWS-2020-00724-0003210</v>
      </c>
      <c r="B3211" s="3" t="s">
        <v>5079</v>
      </c>
      <c r="C3211" s="3" t="s">
        <v>3</v>
      </c>
      <c r="D3211" s="3" t="s">
        <v>33</v>
      </c>
      <c r="E3211" s="3" t="s">
        <v>5080</v>
      </c>
      <c r="F3211" s="4">
        <v>43819.604166666664</v>
      </c>
      <c r="G3211" s="3" t="s">
        <v>872</v>
      </c>
      <c r="H3211" s="3" t="s">
        <v>919</v>
      </c>
      <c r="I3211" s="3" t="s">
        <v>7043</v>
      </c>
      <c r="J3211" s="3"/>
      <c r="K3211" s="3"/>
      <c r="L3211" s="5"/>
    </row>
    <row r="3212" spans="1:12" ht="28.8" x14ac:dyDescent="0.55000000000000004">
      <c r="A3212" s="9" t="str">
        <f>HYPERLINK("PDF\FOIA-FWS-2020-00724-0003211.pdf","FOIA-FWS-2020-00724-0003211")</f>
        <v>FOIA-FWS-2020-00724-0003211</v>
      </c>
      <c r="B3212" s="3" t="s">
        <v>5081</v>
      </c>
      <c r="C3212" s="3" t="s">
        <v>3</v>
      </c>
      <c r="D3212" s="3" t="s">
        <v>33</v>
      </c>
      <c r="E3212" s="3" t="s">
        <v>5082</v>
      </c>
      <c r="F3212" s="4">
        <v>43819.712500000001</v>
      </c>
      <c r="G3212" s="3" t="s">
        <v>955</v>
      </c>
      <c r="H3212" s="3" t="s">
        <v>1119</v>
      </c>
      <c r="I3212" s="3" t="s">
        <v>7043</v>
      </c>
      <c r="J3212" s="3"/>
      <c r="K3212" s="3"/>
      <c r="L3212" s="5"/>
    </row>
    <row r="3213" spans="1:12" ht="28.8" x14ac:dyDescent="0.55000000000000004">
      <c r="A3213" s="9" t="str">
        <f>HYPERLINK("PDF\FOIA-FWS-2020-00724-0003212.pdf","FOIA-FWS-2020-00724-0003212")</f>
        <v>FOIA-FWS-2020-00724-0003212</v>
      </c>
      <c r="B3213" s="3" t="s">
        <v>5083</v>
      </c>
      <c r="C3213" s="3" t="s">
        <v>3</v>
      </c>
      <c r="D3213" s="3" t="s">
        <v>33</v>
      </c>
      <c r="E3213" s="3" t="s">
        <v>5084</v>
      </c>
      <c r="F3213" s="4">
        <v>43822.527083333334</v>
      </c>
      <c r="G3213" s="3" t="s">
        <v>1392</v>
      </c>
      <c r="H3213" s="3" t="s">
        <v>1963</v>
      </c>
      <c r="I3213" s="3" t="s">
        <v>7043</v>
      </c>
      <c r="J3213" s="3"/>
      <c r="K3213" s="3"/>
      <c r="L3213" s="5"/>
    </row>
    <row r="3214" spans="1:12" ht="28.8" x14ac:dyDescent="0.55000000000000004">
      <c r="A3214" s="9" t="str">
        <f>HYPERLINK("PDF\FOIA-FWS-2020-00724-0003213.pdf","FOIA-FWS-2020-00724-0003213")</f>
        <v>FOIA-FWS-2020-00724-0003213</v>
      </c>
      <c r="B3214" s="3" t="s">
        <v>5083</v>
      </c>
      <c r="C3214" s="3" t="s">
        <v>234</v>
      </c>
      <c r="D3214" s="3" t="s">
        <v>33</v>
      </c>
      <c r="E3214" s="3" t="s">
        <v>5085</v>
      </c>
      <c r="F3214" s="4">
        <v>43822.527083333334</v>
      </c>
      <c r="G3214" s="3"/>
      <c r="H3214" s="3"/>
      <c r="I3214" s="3" t="s">
        <v>7043</v>
      </c>
      <c r="J3214" s="3"/>
      <c r="K3214" s="3"/>
      <c r="L3214" s="5"/>
    </row>
    <row r="3215" spans="1:12" ht="28.8" x14ac:dyDescent="0.55000000000000004">
      <c r="A3215" s="9" t="str">
        <f>HYPERLINK("PDF\FOIA-FWS-2020-00724-0003214.pdf","FOIA-FWS-2020-00724-0003214")</f>
        <v>FOIA-FWS-2020-00724-0003214</v>
      </c>
      <c r="B3215" s="3" t="s">
        <v>5083</v>
      </c>
      <c r="C3215" s="3" t="s">
        <v>234</v>
      </c>
      <c r="D3215" s="3" t="s">
        <v>33</v>
      </c>
      <c r="E3215" s="3" t="s">
        <v>5086</v>
      </c>
      <c r="F3215" s="4">
        <v>43822.527083333334</v>
      </c>
      <c r="G3215" s="3"/>
      <c r="H3215" s="3"/>
      <c r="I3215" s="3" t="s">
        <v>7043</v>
      </c>
      <c r="J3215" s="3"/>
      <c r="K3215" s="3"/>
      <c r="L3215" s="5"/>
    </row>
    <row r="3216" spans="1:12" ht="28.8" x14ac:dyDescent="0.55000000000000004">
      <c r="A3216" s="9" t="str">
        <f>HYPERLINK("PDF\FOIA-FWS-2020-00724-0003215.pdf","FOIA-FWS-2020-00724-0003215")</f>
        <v>FOIA-FWS-2020-00724-0003215</v>
      </c>
      <c r="B3216" s="3" t="s">
        <v>5087</v>
      </c>
      <c r="C3216" s="3" t="s">
        <v>3</v>
      </c>
      <c r="D3216" s="3" t="s">
        <v>38</v>
      </c>
      <c r="E3216" s="3" t="s">
        <v>5088</v>
      </c>
      <c r="F3216" s="4">
        <v>43822.551388888889</v>
      </c>
      <c r="G3216" s="3" t="s">
        <v>1719</v>
      </c>
      <c r="H3216" s="3" t="s">
        <v>861</v>
      </c>
      <c r="I3216" s="3" t="s">
        <v>7043</v>
      </c>
      <c r="J3216" s="3"/>
      <c r="K3216" s="3"/>
      <c r="L3216" s="5"/>
    </row>
    <row r="3217" spans="1:12" ht="28.8" x14ac:dyDescent="0.55000000000000004">
      <c r="A3217" s="9" t="str">
        <f>HYPERLINK("PDF\FOIA-FWS-2020-00724-0003216.pdf","FOIA-FWS-2020-00724-0003216")</f>
        <v>FOIA-FWS-2020-00724-0003216</v>
      </c>
      <c r="B3217" s="3" t="s">
        <v>5089</v>
      </c>
      <c r="C3217" s="3" t="s">
        <v>3</v>
      </c>
      <c r="D3217" s="3" t="s">
        <v>33</v>
      </c>
      <c r="E3217" s="3" t="s">
        <v>5090</v>
      </c>
      <c r="F3217" s="4">
        <v>43825.467361111114</v>
      </c>
      <c r="G3217" s="3" t="s">
        <v>955</v>
      </c>
      <c r="H3217" s="3" t="s">
        <v>1516</v>
      </c>
      <c r="I3217" s="3" t="s">
        <v>7043</v>
      </c>
      <c r="J3217" s="3"/>
      <c r="K3217" s="3"/>
      <c r="L3217" s="5"/>
    </row>
    <row r="3218" spans="1:12" ht="28.8" x14ac:dyDescent="0.55000000000000004">
      <c r="A3218" s="9" t="str">
        <f>HYPERLINK("PDF\FOIA-FWS-2020-00724-0003217.pdf","FOIA-FWS-2020-00724-0003217")</f>
        <v>FOIA-FWS-2020-00724-0003217</v>
      </c>
      <c r="B3218" s="3" t="s">
        <v>5091</v>
      </c>
      <c r="C3218" s="3" t="s">
        <v>3</v>
      </c>
      <c r="D3218" s="3" t="s">
        <v>33</v>
      </c>
      <c r="E3218" s="3" t="s">
        <v>5090</v>
      </c>
      <c r="F3218" s="4">
        <v>43825.477083333331</v>
      </c>
      <c r="G3218" s="3" t="s">
        <v>955</v>
      </c>
      <c r="H3218" s="3" t="s">
        <v>1516</v>
      </c>
      <c r="I3218" s="3" t="s">
        <v>7043</v>
      </c>
      <c r="J3218" s="3"/>
      <c r="K3218" s="3"/>
      <c r="L3218" s="5"/>
    </row>
    <row r="3219" spans="1:12" ht="28.8" x14ac:dyDescent="0.55000000000000004">
      <c r="A3219" s="9" t="str">
        <f>HYPERLINK("PDF\FOIA-FWS-2020-00724-0003218.pdf","FOIA-FWS-2020-00724-0003218")</f>
        <v>FOIA-FWS-2020-00724-0003218</v>
      </c>
      <c r="B3219" s="3" t="s">
        <v>5092</v>
      </c>
      <c r="C3219" s="3" t="s">
        <v>3</v>
      </c>
      <c r="D3219" s="3" t="s">
        <v>1678</v>
      </c>
      <c r="E3219" s="3" t="s">
        <v>5093</v>
      </c>
      <c r="F3219" s="4">
        <v>43825.518055555556</v>
      </c>
      <c r="G3219" s="3" t="s">
        <v>955</v>
      </c>
      <c r="H3219" s="3" t="s">
        <v>2166</v>
      </c>
      <c r="I3219" s="3" t="s">
        <v>7043</v>
      </c>
      <c r="J3219" s="3"/>
      <c r="K3219" s="3"/>
      <c r="L3219" s="5"/>
    </row>
    <row r="3220" spans="1:12" ht="28.8" x14ac:dyDescent="0.55000000000000004">
      <c r="A3220" s="9" t="str">
        <f>HYPERLINK("PDF\FOIA-FWS-2020-00724-0003219.pdf","FOIA-FWS-2020-00724-0003219")</f>
        <v>FOIA-FWS-2020-00724-0003219</v>
      </c>
      <c r="B3220" s="3" t="s">
        <v>5094</v>
      </c>
      <c r="C3220" s="3" t="s">
        <v>3</v>
      </c>
      <c r="D3220" s="3" t="s">
        <v>38</v>
      </c>
      <c r="E3220" s="3" t="s">
        <v>4810</v>
      </c>
      <c r="F3220" s="4">
        <v>43826.720833333333</v>
      </c>
      <c r="G3220" s="3" t="s">
        <v>861</v>
      </c>
      <c r="H3220" s="3" t="s">
        <v>1551</v>
      </c>
      <c r="I3220" s="3" t="s">
        <v>7043</v>
      </c>
      <c r="J3220" s="3"/>
      <c r="K3220" s="3"/>
      <c r="L3220" s="5"/>
    </row>
    <row r="3221" spans="1:12" ht="28.8" x14ac:dyDescent="0.55000000000000004">
      <c r="A3221" s="9" t="str">
        <f>HYPERLINK("PDF\FOIA-FWS-2020-00724-0003220.pdf","FOIA-FWS-2020-00724-0003220")</f>
        <v>FOIA-FWS-2020-00724-0003220</v>
      </c>
      <c r="B3221" s="3" t="s">
        <v>5095</v>
      </c>
      <c r="C3221" s="3" t="s">
        <v>3</v>
      </c>
      <c r="D3221" s="3" t="s">
        <v>38</v>
      </c>
      <c r="E3221" s="3" t="s">
        <v>5096</v>
      </c>
      <c r="F3221" s="4">
        <v>43826.796527777777</v>
      </c>
      <c r="G3221" s="3" t="s">
        <v>861</v>
      </c>
      <c r="H3221" s="3" t="s">
        <v>4557</v>
      </c>
      <c r="I3221" s="3" t="s">
        <v>7043</v>
      </c>
      <c r="J3221" s="3"/>
      <c r="K3221" s="3"/>
      <c r="L3221" s="5"/>
    </row>
    <row r="3222" spans="1:12" ht="28.8" x14ac:dyDescent="0.55000000000000004">
      <c r="A3222" s="9" t="str">
        <f>HYPERLINK("PDF\FOIA-FWS-2020-00724-0003221.pdf","FOIA-FWS-2020-00724-0003221")</f>
        <v>FOIA-FWS-2020-00724-0003221</v>
      </c>
      <c r="B3222" s="3" t="s">
        <v>5097</v>
      </c>
      <c r="C3222" s="3" t="s">
        <v>3</v>
      </c>
      <c r="D3222" s="3" t="s">
        <v>38</v>
      </c>
      <c r="E3222" s="3" t="s">
        <v>5098</v>
      </c>
      <c r="F3222" s="4">
        <v>43826.804166666669</v>
      </c>
      <c r="G3222" s="3" t="s">
        <v>861</v>
      </c>
      <c r="H3222" s="3" t="s">
        <v>4516</v>
      </c>
      <c r="I3222" s="3" t="s">
        <v>7043</v>
      </c>
      <c r="J3222" s="3"/>
      <c r="K3222" s="3"/>
      <c r="L3222" s="5"/>
    </row>
    <row r="3223" spans="1:12" ht="28.8" x14ac:dyDescent="0.55000000000000004">
      <c r="A3223" s="9" t="str">
        <f>HYPERLINK("PDF\FOIA-FWS-2020-00724-0003222.pdf","FOIA-FWS-2020-00724-0003222")</f>
        <v>FOIA-FWS-2020-00724-0003222</v>
      </c>
      <c r="B3223" s="3" t="s">
        <v>5099</v>
      </c>
      <c r="C3223" s="3" t="s">
        <v>3</v>
      </c>
      <c r="D3223" s="3" t="s">
        <v>38</v>
      </c>
      <c r="E3223" s="3" t="s">
        <v>5100</v>
      </c>
      <c r="F3223" s="4">
        <v>43826.861111111109</v>
      </c>
      <c r="G3223" s="3" t="s">
        <v>4506</v>
      </c>
      <c r="H3223" s="3" t="s">
        <v>861</v>
      </c>
      <c r="I3223" s="3" t="s">
        <v>7043</v>
      </c>
      <c r="J3223" s="3"/>
      <c r="K3223" s="3"/>
      <c r="L3223" s="5"/>
    </row>
    <row r="3224" spans="1:12" ht="28.8" x14ac:dyDescent="0.55000000000000004">
      <c r="A3224" s="9" t="str">
        <f>HYPERLINK("PDF\FOIA-FWS-2020-00724-0003223.pdf","FOIA-FWS-2020-00724-0003223")</f>
        <v>FOIA-FWS-2020-00724-0003223</v>
      </c>
      <c r="B3224" s="3" t="s">
        <v>5101</v>
      </c>
      <c r="C3224" s="3" t="s">
        <v>3</v>
      </c>
      <c r="D3224" s="3" t="s">
        <v>33</v>
      </c>
      <c r="E3224" s="3" t="s">
        <v>5103</v>
      </c>
      <c r="F3224" s="4">
        <v>43829.704861111109</v>
      </c>
      <c r="G3224" s="3" t="s">
        <v>5102</v>
      </c>
      <c r="H3224" s="3" t="s">
        <v>861</v>
      </c>
      <c r="I3224" s="3" t="s">
        <v>7043</v>
      </c>
      <c r="J3224" s="3"/>
      <c r="K3224" s="3"/>
      <c r="L3224" s="5"/>
    </row>
    <row r="3225" spans="1:12" ht="28.8" x14ac:dyDescent="0.55000000000000004">
      <c r="A3225" s="9" t="str">
        <f>HYPERLINK("PDF\FOIA-FWS-2020-00724-0003224.pdf","FOIA-FWS-2020-00724-0003224")</f>
        <v>FOIA-FWS-2020-00724-0003224</v>
      </c>
      <c r="B3225" s="3" t="s">
        <v>5101</v>
      </c>
      <c r="C3225" s="3" t="s">
        <v>234</v>
      </c>
      <c r="D3225" s="3" t="s">
        <v>160</v>
      </c>
      <c r="E3225" s="3" t="s">
        <v>5104</v>
      </c>
      <c r="F3225" s="4">
        <v>43829.704861111109</v>
      </c>
      <c r="G3225" s="3"/>
      <c r="H3225" s="3"/>
      <c r="I3225" s="3" t="s">
        <v>7043</v>
      </c>
      <c r="J3225" s="3"/>
      <c r="K3225" s="3"/>
      <c r="L3225" s="5"/>
    </row>
    <row r="3226" spans="1:12" ht="28.8" x14ac:dyDescent="0.55000000000000004">
      <c r="A3226" s="9" t="str">
        <f>HYPERLINK("PDF\FOIA-FWS-2020-00724-0003225.pdf","FOIA-FWS-2020-00724-0003225")</f>
        <v>FOIA-FWS-2020-00724-0003225</v>
      </c>
      <c r="B3226" s="3" t="s">
        <v>5101</v>
      </c>
      <c r="C3226" s="3" t="s">
        <v>234</v>
      </c>
      <c r="D3226" s="3" t="s">
        <v>160</v>
      </c>
      <c r="E3226" s="3" t="s">
        <v>5105</v>
      </c>
      <c r="F3226" s="4">
        <v>43829.704861111109</v>
      </c>
      <c r="G3226" s="3"/>
      <c r="H3226" s="3"/>
      <c r="I3226" s="3" t="s">
        <v>7043</v>
      </c>
      <c r="J3226" s="3"/>
      <c r="K3226" s="3"/>
      <c r="L3226" s="5"/>
    </row>
    <row r="3227" spans="1:12" ht="28.8" x14ac:dyDescent="0.55000000000000004">
      <c r="A3227" s="9" t="str">
        <f>HYPERLINK("PDF\FOIA-FWS-2020-00724-0003226.pdf","FOIA-FWS-2020-00724-0003226")</f>
        <v>FOIA-FWS-2020-00724-0003226</v>
      </c>
      <c r="B3227" s="3" t="s">
        <v>5101</v>
      </c>
      <c r="C3227" s="3" t="s">
        <v>234</v>
      </c>
      <c r="D3227" s="3" t="s">
        <v>160</v>
      </c>
      <c r="E3227" s="3" t="s">
        <v>5106</v>
      </c>
      <c r="F3227" s="4">
        <v>43829.704861111109</v>
      </c>
      <c r="G3227" s="3"/>
      <c r="H3227" s="3"/>
      <c r="I3227" s="3" t="s">
        <v>7043</v>
      </c>
      <c r="J3227" s="3"/>
      <c r="K3227" s="3"/>
      <c r="L3227" s="5" t="str">
        <f>HYPERLINK("NATIVE_FILES\FOIA-FWS-2020-00724-0003226.freelist","FOIA-FWS-2020-00724-0003226.freelist")</f>
        <v>FOIA-FWS-2020-00724-0003226.freelist</v>
      </c>
    </row>
    <row r="3228" spans="1:12" ht="28.8" x14ac:dyDescent="0.55000000000000004">
      <c r="A3228" s="9" t="str">
        <f>HYPERLINK("PDF\FOIA-FWS-2020-00724-0003227.pdf","FOIA-FWS-2020-00724-0003227")</f>
        <v>FOIA-FWS-2020-00724-0003227</v>
      </c>
      <c r="B3228" s="3" t="s">
        <v>5101</v>
      </c>
      <c r="C3228" s="3" t="s">
        <v>234</v>
      </c>
      <c r="D3228" s="3" t="s">
        <v>160</v>
      </c>
      <c r="E3228" s="3" t="s">
        <v>4226</v>
      </c>
      <c r="F3228" s="4">
        <v>43829.704861111109</v>
      </c>
      <c r="G3228" s="3"/>
      <c r="H3228" s="3"/>
      <c r="I3228" s="3" t="s">
        <v>7043</v>
      </c>
      <c r="J3228" s="3"/>
      <c r="K3228" s="3"/>
      <c r="L3228" s="5" t="str">
        <f>HYPERLINK("NATIVE_FILES\FOIA-FWS-2020-00724-0003227.gdbindexes","FOIA-FWS-2020-00724-0003227.gdbindexes")</f>
        <v>FOIA-FWS-2020-00724-0003227.gdbindexes</v>
      </c>
    </row>
    <row r="3229" spans="1:12" ht="28.8" x14ac:dyDescent="0.55000000000000004">
      <c r="A3229" s="9" t="str">
        <f>HYPERLINK("PDF\FOIA-FWS-2020-00724-0003228.pdf","FOIA-FWS-2020-00724-0003228")</f>
        <v>FOIA-FWS-2020-00724-0003228</v>
      </c>
      <c r="B3229" s="3" t="s">
        <v>5101</v>
      </c>
      <c r="C3229" s="3" t="s">
        <v>234</v>
      </c>
      <c r="D3229" s="3" t="s">
        <v>160</v>
      </c>
      <c r="E3229" s="3" t="s">
        <v>4227</v>
      </c>
      <c r="F3229" s="4">
        <v>43829.704861111109</v>
      </c>
      <c r="G3229" s="3"/>
      <c r="H3229" s="3"/>
      <c r="I3229" s="3" t="s">
        <v>7043</v>
      </c>
      <c r="J3229" s="3"/>
      <c r="K3229" s="3"/>
      <c r="L3229" s="5" t="str">
        <f>HYPERLINK("NATIVE_FILES\FOIA-FWS-2020-00724-0003228.gdbtable","FOIA-FWS-2020-00724-0003228.gdbtable")</f>
        <v>FOIA-FWS-2020-00724-0003228.gdbtable</v>
      </c>
    </row>
    <row r="3230" spans="1:12" ht="28.8" x14ac:dyDescent="0.55000000000000004">
      <c r="A3230" s="9" t="str">
        <f>HYPERLINK("PDF\FOIA-FWS-2020-00724-0003229.pdf","FOIA-FWS-2020-00724-0003229")</f>
        <v>FOIA-FWS-2020-00724-0003229</v>
      </c>
      <c r="B3230" s="3" t="s">
        <v>5101</v>
      </c>
      <c r="C3230" s="3" t="s">
        <v>234</v>
      </c>
      <c r="D3230" s="3" t="s">
        <v>160</v>
      </c>
      <c r="E3230" s="3" t="s">
        <v>4228</v>
      </c>
      <c r="F3230" s="4">
        <v>43829.704861111109</v>
      </c>
      <c r="G3230" s="3"/>
      <c r="H3230" s="3"/>
      <c r="I3230" s="3" t="s">
        <v>7043</v>
      </c>
      <c r="J3230" s="3"/>
      <c r="K3230" s="3"/>
      <c r="L3230" s="5" t="str">
        <f>HYPERLINK("NATIVE_FILES\FOIA-FWS-2020-00724-0003229.gdbtablx","FOIA-FWS-2020-00724-0003229.gdbtablx")</f>
        <v>FOIA-FWS-2020-00724-0003229.gdbtablx</v>
      </c>
    </row>
    <row r="3231" spans="1:12" ht="28.8" x14ac:dyDescent="0.55000000000000004">
      <c r="A3231" s="9" t="str">
        <f>HYPERLINK("PDF\FOIA-FWS-2020-00724-0003230.pdf","FOIA-FWS-2020-00724-0003230")</f>
        <v>FOIA-FWS-2020-00724-0003230</v>
      </c>
      <c r="B3231" s="3" t="s">
        <v>5101</v>
      </c>
      <c r="C3231" s="3" t="s">
        <v>234</v>
      </c>
      <c r="D3231" s="3" t="s">
        <v>160</v>
      </c>
      <c r="E3231" s="3" t="s">
        <v>4229</v>
      </c>
      <c r="F3231" s="4">
        <v>43829.704861111109</v>
      </c>
      <c r="G3231" s="3"/>
      <c r="H3231" s="3"/>
      <c r="I3231" s="3" t="s">
        <v>7043</v>
      </c>
      <c r="J3231" s="3"/>
      <c r="K3231" s="3"/>
      <c r="L3231" s="5" t="str">
        <f>HYPERLINK("NATIVE_FILES\FOIA-FWS-2020-00724-0003230.atx","FOIA-FWS-2020-00724-0003230.atx")</f>
        <v>FOIA-FWS-2020-00724-0003230.atx</v>
      </c>
    </row>
    <row r="3232" spans="1:12" ht="28.8" x14ac:dyDescent="0.55000000000000004">
      <c r="A3232" s="9" t="str">
        <f>HYPERLINK("PDF\FOIA-FWS-2020-00724-0003231.pdf","FOIA-FWS-2020-00724-0003231")</f>
        <v>FOIA-FWS-2020-00724-0003231</v>
      </c>
      <c r="B3232" s="3" t="s">
        <v>5101</v>
      </c>
      <c r="C3232" s="3" t="s">
        <v>234</v>
      </c>
      <c r="D3232" s="3" t="s">
        <v>160</v>
      </c>
      <c r="E3232" s="3" t="s">
        <v>5107</v>
      </c>
      <c r="F3232" s="4">
        <v>43829.704861111109</v>
      </c>
      <c r="G3232" s="3"/>
      <c r="H3232" s="3"/>
      <c r="I3232" s="3" t="s">
        <v>7043</v>
      </c>
      <c r="J3232" s="3"/>
      <c r="K3232" s="3"/>
      <c r="L3232" s="5" t="str">
        <f>HYPERLINK("NATIVE_FILES\FOIA-FWS-2020-00724-0003231.freelist","FOIA-FWS-2020-00724-0003231.freelist")</f>
        <v>FOIA-FWS-2020-00724-0003231.freelist</v>
      </c>
    </row>
    <row r="3233" spans="1:12" ht="28.8" x14ac:dyDescent="0.55000000000000004">
      <c r="A3233" s="9" t="str">
        <f>HYPERLINK("PDF\FOIA-FWS-2020-00724-0003232.pdf","FOIA-FWS-2020-00724-0003232")</f>
        <v>FOIA-FWS-2020-00724-0003232</v>
      </c>
      <c r="B3233" s="3" t="s">
        <v>5101</v>
      </c>
      <c r="C3233" s="3" t="s">
        <v>234</v>
      </c>
      <c r="D3233" s="3" t="s">
        <v>160</v>
      </c>
      <c r="E3233" s="3" t="s">
        <v>4230</v>
      </c>
      <c r="F3233" s="4">
        <v>43829.704861111109</v>
      </c>
      <c r="G3233" s="3"/>
      <c r="H3233" s="3"/>
      <c r="I3233" s="3" t="s">
        <v>7043</v>
      </c>
      <c r="J3233" s="3"/>
      <c r="K3233" s="3"/>
      <c r="L3233" s="5" t="str">
        <f>HYPERLINK("NATIVE_FILES\FOIA-FWS-2020-00724-0003232.gdbtable","FOIA-FWS-2020-00724-0003232.gdbtable")</f>
        <v>FOIA-FWS-2020-00724-0003232.gdbtable</v>
      </c>
    </row>
    <row r="3234" spans="1:12" ht="28.8" x14ac:dyDescent="0.55000000000000004">
      <c r="A3234" s="9" t="str">
        <f>HYPERLINK("PDF\FOIA-FWS-2020-00724-0003233.pdf","FOIA-FWS-2020-00724-0003233")</f>
        <v>FOIA-FWS-2020-00724-0003233</v>
      </c>
      <c r="B3234" s="3" t="s">
        <v>5101</v>
      </c>
      <c r="C3234" s="3" t="s">
        <v>234</v>
      </c>
      <c r="D3234" s="3" t="s">
        <v>160</v>
      </c>
      <c r="E3234" s="3" t="s">
        <v>4231</v>
      </c>
      <c r="F3234" s="4">
        <v>43829.704861111109</v>
      </c>
      <c r="G3234" s="3"/>
      <c r="H3234" s="3"/>
      <c r="I3234" s="3" t="s">
        <v>7043</v>
      </c>
      <c r="J3234" s="3"/>
      <c r="K3234" s="3"/>
      <c r="L3234" s="5" t="str">
        <f>HYPERLINK("NATIVE_FILES\FOIA-FWS-2020-00724-0003233.gdbtablx","FOIA-FWS-2020-00724-0003233.gdbtablx")</f>
        <v>FOIA-FWS-2020-00724-0003233.gdbtablx</v>
      </c>
    </row>
    <row r="3235" spans="1:12" ht="28.8" x14ac:dyDescent="0.55000000000000004">
      <c r="A3235" s="9" t="str">
        <f>HYPERLINK("PDF\FOIA-FWS-2020-00724-0003234.pdf","FOIA-FWS-2020-00724-0003234")</f>
        <v>FOIA-FWS-2020-00724-0003234</v>
      </c>
      <c r="B3235" s="3" t="s">
        <v>5101</v>
      </c>
      <c r="C3235" s="3" t="s">
        <v>234</v>
      </c>
      <c r="D3235" s="3" t="s">
        <v>160</v>
      </c>
      <c r="E3235" s="3" t="s">
        <v>5108</v>
      </c>
      <c r="F3235" s="4">
        <v>43829.704861111109</v>
      </c>
      <c r="G3235" s="3"/>
      <c r="H3235" s="3"/>
      <c r="I3235" s="3" t="s">
        <v>7043</v>
      </c>
      <c r="J3235" s="3"/>
      <c r="K3235" s="3"/>
      <c r="L3235" s="5" t="str">
        <f>HYPERLINK("NATIVE_FILES\FOIA-FWS-2020-00724-0003234.freelist","FOIA-FWS-2020-00724-0003234.freelist")</f>
        <v>FOIA-FWS-2020-00724-0003234.freelist</v>
      </c>
    </row>
    <row r="3236" spans="1:12" ht="28.8" x14ac:dyDescent="0.55000000000000004">
      <c r="A3236" s="9" t="str">
        <f>HYPERLINK("PDF\FOIA-FWS-2020-00724-0003235.pdf","FOIA-FWS-2020-00724-0003235")</f>
        <v>FOIA-FWS-2020-00724-0003235</v>
      </c>
      <c r="B3236" s="3" t="s">
        <v>5101</v>
      </c>
      <c r="C3236" s="3" t="s">
        <v>234</v>
      </c>
      <c r="D3236" s="3" t="s">
        <v>160</v>
      </c>
      <c r="E3236" s="3" t="s">
        <v>4232</v>
      </c>
      <c r="F3236" s="4">
        <v>43829.704861111109</v>
      </c>
      <c r="G3236" s="3"/>
      <c r="H3236" s="3"/>
      <c r="I3236" s="3" t="s">
        <v>7043</v>
      </c>
      <c r="J3236" s="3"/>
      <c r="K3236" s="3"/>
      <c r="L3236" s="5" t="str">
        <f>HYPERLINK("NATIVE_FILES\FOIA-FWS-2020-00724-0003235.gdbindexes","FOIA-FWS-2020-00724-0003235.gdbindexes")</f>
        <v>FOIA-FWS-2020-00724-0003235.gdbindexes</v>
      </c>
    </row>
    <row r="3237" spans="1:12" ht="28.8" x14ac:dyDescent="0.55000000000000004">
      <c r="A3237" s="9" t="str">
        <f>HYPERLINK("PDF\FOIA-FWS-2020-00724-0003236.pdf","FOIA-FWS-2020-00724-0003236")</f>
        <v>FOIA-FWS-2020-00724-0003236</v>
      </c>
      <c r="B3237" s="3" t="s">
        <v>5101</v>
      </c>
      <c r="C3237" s="3" t="s">
        <v>234</v>
      </c>
      <c r="D3237" s="3" t="s">
        <v>160</v>
      </c>
      <c r="E3237" s="3" t="s">
        <v>4233</v>
      </c>
      <c r="F3237" s="4">
        <v>43829.704861111109</v>
      </c>
      <c r="G3237" s="3"/>
      <c r="H3237" s="3"/>
      <c r="I3237" s="3" t="s">
        <v>7043</v>
      </c>
      <c r="J3237" s="3"/>
      <c r="K3237" s="3"/>
      <c r="L3237" s="5" t="str">
        <f>HYPERLINK("NATIVE_FILES\FOIA-FWS-2020-00724-0003236.gdbtable","FOIA-FWS-2020-00724-0003236.gdbtable")</f>
        <v>FOIA-FWS-2020-00724-0003236.gdbtable</v>
      </c>
    </row>
    <row r="3238" spans="1:12" ht="28.8" x14ac:dyDescent="0.55000000000000004">
      <c r="A3238" s="9" t="str">
        <f>HYPERLINK("PDF\FOIA-FWS-2020-00724-0003237.pdf","FOIA-FWS-2020-00724-0003237")</f>
        <v>FOIA-FWS-2020-00724-0003237</v>
      </c>
      <c r="B3238" s="3" t="s">
        <v>5101</v>
      </c>
      <c r="C3238" s="3" t="s">
        <v>234</v>
      </c>
      <c r="D3238" s="3" t="s">
        <v>160</v>
      </c>
      <c r="E3238" s="3" t="s">
        <v>4234</v>
      </c>
      <c r="F3238" s="4">
        <v>43829.704861111109</v>
      </c>
      <c r="G3238" s="3"/>
      <c r="H3238" s="3"/>
      <c r="I3238" s="3" t="s">
        <v>7043</v>
      </c>
      <c r="J3238" s="3"/>
      <c r="K3238" s="3"/>
      <c r="L3238" s="5" t="str">
        <f>HYPERLINK("NATIVE_FILES\FOIA-FWS-2020-00724-0003237.gdbtablx","FOIA-FWS-2020-00724-0003237.gdbtablx")</f>
        <v>FOIA-FWS-2020-00724-0003237.gdbtablx</v>
      </c>
    </row>
    <row r="3239" spans="1:12" ht="28.8" x14ac:dyDescent="0.55000000000000004">
      <c r="A3239" s="9" t="str">
        <f>HYPERLINK("PDF\FOIA-FWS-2020-00724-0003238.pdf","FOIA-FWS-2020-00724-0003238")</f>
        <v>FOIA-FWS-2020-00724-0003238</v>
      </c>
      <c r="B3239" s="3" t="s">
        <v>5101</v>
      </c>
      <c r="C3239" s="3" t="s">
        <v>234</v>
      </c>
      <c r="D3239" s="3" t="s">
        <v>160</v>
      </c>
      <c r="E3239" s="3" t="s">
        <v>4235</v>
      </c>
      <c r="F3239" s="4">
        <v>43829.704861111109</v>
      </c>
      <c r="G3239" s="3"/>
      <c r="H3239" s="3"/>
      <c r="I3239" s="3" t="s">
        <v>7043</v>
      </c>
      <c r="J3239" s="3"/>
      <c r="K3239" s="3"/>
      <c r="L3239" s="5" t="str">
        <f>HYPERLINK("NATIVE_FILES\FOIA-FWS-2020-00724-0003238.spx","FOIA-FWS-2020-00724-0003238.spx")</f>
        <v>FOIA-FWS-2020-00724-0003238.spx</v>
      </c>
    </row>
    <row r="3240" spans="1:12" ht="28.8" x14ac:dyDescent="0.55000000000000004">
      <c r="A3240" s="9" t="str">
        <f>HYPERLINK("PDF\FOIA-FWS-2020-00724-0003239.pdf","FOIA-FWS-2020-00724-0003239")</f>
        <v>FOIA-FWS-2020-00724-0003239</v>
      </c>
      <c r="B3240" s="3" t="s">
        <v>5101</v>
      </c>
      <c r="C3240" s="3" t="s">
        <v>234</v>
      </c>
      <c r="D3240" s="3" t="s">
        <v>160</v>
      </c>
      <c r="E3240" s="3" t="s">
        <v>5109</v>
      </c>
      <c r="F3240" s="4">
        <v>43829.704861111109</v>
      </c>
      <c r="G3240" s="3"/>
      <c r="H3240" s="3"/>
      <c r="I3240" s="3" t="s">
        <v>7043</v>
      </c>
      <c r="J3240" s="3"/>
      <c r="K3240" s="3"/>
      <c r="L3240" s="5" t="str">
        <f>HYPERLINK("NATIVE_FILES\FOIA-FWS-2020-00724-0003239.freelist","FOIA-FWS-2020-00724-0003239.freelist")</f>
        <v>FOIA-FWS-2020-00724-0003239.freelist</v>
      </c>
    </row>
    <row r="3241" spans="1:12" ht="28.8" x14ac:dyDescent="0.55000000000000004">
      <c r="A3241" s="9" t="str">
        <f>HYPERLINK("PDF\FOIA-FWS-2020-00724-0003240.pdf","FOIA-FWS-2020-00724-0003240")</f>
        <v>FOIA-FWS-2020-00724-0003240</v>
      </c>
      <c r="B3241" s="3" t="s">
        <v>5101</v>
      </c>
      <c r="C3241" s="3" t="s">
        <v>234</v>
      </c>
      <c r="D3241" s="3" t="s">
        <v>160</v>
      </c>
      <c r="E3241" s="3" t="s">
        <v>4236</v>
      </c>
      <c r="F3241" s="4">
        <v>43829.704861111109</v>
      </c>
      <c r="G3241" s="3"/>
      <c r="H3241" s="3"/>
      <c r="I3241" s="3" t="s">
        <v>7043</v>
      </c>
      <c r="J3241" s="3"/>
      <c r="K3241" s="3"/>
      <c r="L3241" s="5" t="str">
        <f>HYPERLINK("NATIVE_FILES\FOIA-FWS-2020-00724-0003240.gdbindexes","FOIA-FWS-2020-00724-0003240.gdbindexes")</f>
        <v>FOIA-FWS-2020-00724-0003240.gdbindexes</v>
      </c>
    </row>
    <row r="3242" spans="1:12" ht="28.8" x14ac:dyDescent="0.55000000000000004">
      <c r="A3242" s="9" t="str">
        <f>HYPERLINK("PDF\FOIA-FWS-2020-00724-0003241.pdf","FOIA-FWS-2020-00724-0003241")</f>
        <v>FOIA-FWS-2020-00724-0003241</v>
      </c>
      <c r="B3242" s="3" t="s">
        <v>5101</v>
      </c>
      <c r="C3242" s="3" t="s">
        <v>234</v>
      </c>
      <c r="D3242" s="3" t="s">
        <v>160</v>
      </c>
      <c r="E3242" s="3" t="s">
        <v>4237</v>
      </c>
      <c r="F3242" s="4">
        <v>43829.704861111109</v>
      </c>
      <c r="G3242" s="3"/>
      <c r="H3242" s="3"/>
      <c r="I3242" s="3" t="s">
        <v>7043</v>
      </c>
      <c r="J3242" s="3"/>
      <c r="K3242" s="3"/>
      <c r="L3242" s="5" t="str">
        <f>HYPERLINK("NATIVE_FILES\FOIA-FWS-2020-00724-0003241.gdbtable","FOIA-FWS-2020-00724-0003241.gdbtable")</f>
        <v>FOIA-FWS-2020-00724-0003241.gdbtable</v>
      </c>
    </row>
    <row r="3243" spans="1:12" ht="28.8" x14ac:dyDescent="0.55000000000000004">
      <c r="A3243" s="9" t="str">
        <f>HYPERLINK("PDF\FOIA-FWS-2020-00724-0003242.pdf","FOIA-FWS-2020-00724-0003242")</f>
        <v>FOIA-FWS-2020-00724-0003242</v>
      </c>
      <c r="B3243" s="3" t="s">
        <v>5101</v>
      </c>
      <c r="C3243" s="3" t="s">
        <v>234</v>
      </c>
      <c r="D3243" s="3" t="s">
        <v>160</v>
      </c>
      <c r="E3243" s="3" t="s">
        <v>4238</v>
      </c>
      <c r="F3243" s="4">
        <v>43829.704861111109</v>
      </c>
      <c r="G3243" s="3"/>
      <c r="H3243" s="3"/>
      <c r="I3243" s="3" t="s">
        <v>7043</v>
      </c>
      <c r="J3243" s="3"/>
      <c r="K3243" s="3"/>
      <c r="L3243" s="5" t="str">
        <f>HYPERLINK("NATIVE_FILES\FOIA-FWS-2020-00724-0003242.gdbtablx","FOIA-FWS-2020-00724-0003242.gdbtablx")</f>
        <v>FOIA-FWS-2020-00724-0003242.gdbtablx</v>
      </c>
    </row>
    <row r="3244" spans="1:12" ht="28.8" x14ac:dyDescent="0.55000000000000004">
      <c r="A3244" s="9" t="str">
        <f>HYPERLINK("PDF\FOIA-FWS-2020-00724-0003243.pdf","FOIA-FWS-2020-00724-0003243")</f>
        <v>FOIA-FWS-2020-00724-0003243</v>
      </c>
      <c r="B3244" s="3" t="s">
        <v>5101</v>
      </c>
      <c r="C3244" s="3" t="s">
        <v>234</v>
      </c>
      <c r="D3244" s="3" t="s">
        <v>160</v>
      </c>
      <c r="E3244" s="3" t="s">
        <v>4239</v>
      </c>
      <c r="F3244" s="4">
        <v>43829.704861111109</v>
      </c>
      <c r="G3244" s="3"/>
      <c r="H3244" s="3"/>
      <c r="I3244" s="3" t="s">
        <v>7043</v>
      </c>
      <c r="J3244" s="3"/>
      <c r="K3244" s="3"/>
      <c r="L3244" s="5" t="str">
        <f>HYPERLINK("NATIVE_FILES\FOIA-FWS-2020-00724-0003243.atx","FOIA-FWS-2020-00724-0003243.atx")</f>
        <v>FOIA-FWS-2020-00724-0003243.atx</v>
      </c>
    </row>
    <row r="3245" spans="1:12" ht="28.8" x14ac:dyDescent="0.55000000000000004">
      <c r="A3245" s="9" t="str">
        <f>HYPERLINK("PDF\FOIA-FWS-2020-00724-0003244.pdf","FOIA-FWS-2020-00724-0003244")</f>
        <v>FOIA-FWS-2020-00724-0003244</v>
      </c>
      <c r="B3245" s="3" t="s">
        <v>5101</v>
      </c>
      <c r="C3245" s="3" t="s">
        <v>234</v>
      </c>
      <c r="D3245" s="3" t="s">
        <v>160</v>
      </c>
      <c r="E3245" s="3" t="s">
        <v>4240</v>
      </c>
      <c r="F3245" s="4">
        <v>43829.704861111109</v>
      </c>
      <c r="G3245" s="3"/>
      <c r="H3245" s="3"/>
      <c r="I3245" s="3" t="s">
        <v>7043</v>
      </c>
      <c r="J3245" s="3"/>
      <c r="K3245" s="3"/>
      <c r="L3245" s="5" t="str">
        <f>HYPERLINK("NATIVE_FILES\FOIA-FWS-2020-00724-0003244.atx","FOIA-FWS-2020-00724-0003244.atx")</f>
        <v>FOIA-FWS-2020-00724-0003244.atx</v>
      </c>
    </row>
    <row r="3246" spans="1:12" ht="28.8" x14ac:dyDescent="0.55000000000000004">
      <c r="A3246" s="9" t="str">
        <f>HYPERLINK("PDF\FOIA-FWS-2020-00724-0003245.pdf","FOIA-FWS-2020-00724-0003245")</f>
        <v>FOIA-FWS-2020-00724-0003245</v>
      </c>
      <c r="B3246" s="3" t="s">
        <v>5101</v>
      </c>
      <c r="C3246" s="3" t="s">
        <v>234</v>
      </c>
      <c r="D3246" s="3" t="s">
        <v>160</v>
      </c>
      <c r="E3246" s="3" t="s">
        <v>4241</v>
      </c>
      <c r="F3246" s="4">
        <v>43829.704861111109</v>
      </c>
      <c r="G3246" s="3"/>
      <c r="H3246" s="3"/>
      <c r="I3246" s="3" t="s">
        <v>7043</v>
      </c>
      <c r="J3246" s="3"/>
      <c r="K3246" s="3"/>
      <c r="L3246" s="5" t="str">
        <f>HYPERLINK("NATIVE_FILES\FOIA-FWS-2020-00724-0003245.atx","FOIA-FWS-2020-00724-0003245.atx")</f>
        <v>FOIA-FWS-2020-00724-0003245.atx</v>
      </c>
    </row>
    <row r="3247" spans="1:12" ht="28.8" x14ac:dyDescent="0.55000000000000004">
      <c r="A3247" s="9" t="str">
        <f>HYPERLINK("PDF\FOIA-FWS-2020-00724-0003246.pdf","FOIA-FWS-2020-00724-0003246")</f>
        <v>FOIA-FWS-2020-00724-0003246</v>
      </c>
      <c r="B3247" s="3" t="s">
        <v>5101</v>
      </c>
      <c r="C3247" s="3" t="s">
        <v>234</v>
      </c>
      <c r="D3247" s="3" t="s">
        <v>160</v>
      </c>
      <c r="E3247" s="3" t="s">
        <v>4242</v>
      </c>
      <c r="F3247" s="4">
        <v>43829.704861111109</v>
      </c>
      <c r="G3247" s="3"/>
      <c r="H3247" s="3"/>
      <c r="I3247" s="3" t="s">
        <v>7043</v>
      </c>
      <c r="J3247" s="3"/>
      <c r="K3247" s="3"/>
      <c r="L3247" s="5" t="str">
        <f>HYPERLINK("NATIVE_FILES\FOIA-FWS-2020-00724-0003246.freelist","FOIA-FWS-2020-00724-0003246.freelist")</f>
        <v>FOIA-FWS-2020-00724-0003246.freelist</v>
      </c>
    </row>
    <row r="3248" spans="1:12" ht="28.8" x14ac:dyDescent="0.55000000000000004">
      <c r="A3248" s="9" t="str">
        <f>HYPERLINK("PDF\FOIA-FWS-2020-00724-0003247.pdf","FOIA-FWS-2020-00724-0003247")</f>
        <v>FOIA-FWS-2020-00724-0003247</v>
      </c>
      <c r="B3248" s="3" t="s">
        <v>5101</v>
      </c>
      <c r="C3248" s="3" t="s">
        <v>234</v>
      </c>
      <c r="D3248" s="3" t="s">
        <v>160</v>
      </c>
      <c r="E3248" s="3" t="s">
        <v>4243</v>
      </c>
      <c r="F3248" s="4">
        <v>43829.704861111109</v>
      </c>
      <c r="G3248" s="3"/>
      <c r="H3248" s="3"/>
      <c r="I3248" s="3" t="s">
        <v>7043</v>
      </c>
      <c r="J3248" s="3"/>
      <c r="K3248" s="3"/>
      <c r="L3248" s="5" t="str">
        <f>HYPERLINK("NATIVE_FILES\FOIA-FWS-2020-00724-0003247.gdbindexes","FOIA-FWS-2020-00724-0003247.gdbindexes")</f>
        <v>FOIA-FWS-2020-00724-0003247.gdbindexes</v>
      </c>
    </row>
    <row r="3249" spans="1:12" ht="28.8" x14ac:dyDescent="0.55000000000000004">
      <c r="A3249" s="9" t="str">
        <f>HYPERLINK("PDF\FOIA-FWS-2020-00724-0003248.pdf","FOIA-FWS-2020-00724-0003248")</f>
        <v>FOIA-FWS-2020-00724-0003248</v>
      </c>
      <c r="B3249" s="3" t="s">
        <v>5101</v>
      </c>
      <c r="C3249" s="3" t="s">
        <v>234</v>
      </c>
      <c r="D3249" s="3" t="s">
        <v>160</v>
      </c>
      <c r="E3249" s="3" t="s">
        <v>4244</v>
      </c>
      <c r="F3249" s="4">
        <v>43829.704861111109</v>
      </c>
      <c r="G3249" s="3"/>
      <c r="H3249" s="3"/>
      <c r="I3249" s="3" t="s">
        <v>7043</v>
      </c>
      <c r="J3249" s="3"/>
      <c r="K3249" s="3"/>
      <c r="L3249" s="5" t="str">
        <f>HYPERLINK("NATIVE_FILES\FOIA-FWS-2020-00724-0003248.gdbtable","FOIA-FWS-2020-00724-0003248.gdbtable")</f>
        <v>FOIA-FWS-2020-00724-0003248.gdbtable</v>
      </c>
    </row>
    <row r="3250" spans="1:12" ht="28.8" x14ac:dyDescent="0.55000000000000004">
      <c r="A3250" s="9" t="str">
        <f>HYPERLINK("PDF\FOIA-FWS-2020-00724-0003249.pdf","FOIA-FWS-2020-00724-0003249")</f>
        <v>FOIA-FWS-2020-00724-0003249</v>
      </c>
      <c r="B3250" s="3" t="s">
        <v>5101</v>
      </c>
      <c r="C3250" s="3" t="s">
        <v>234</v>
      </c>
      <c r="D3250" s="3" t="s">
        <v>160</v>
      </c>
      <c r="E3250" s="3" t="s">
        <v>4245</v>
      </c>
      <c r="F3250" s="4">
        <v>43829.704861111109</v>
      </c>
      <c r="G3250" s="3"/>
      <c r="H3250" s="3"/>
      <c r="I3250" s="3" t="s">
        <v>7043</v>
      </c>
      <c r="J3250" s="3"/>
      <c r="K3250" s="3"/>
      <c r="L3250" s="5" t="str">
        <f>HYPERLINK("NATIVE_FILES\FOIA-FWS-2020-00724-0003249.gdbtablx","FOIA-FWS-2020-00724-0003249.gdbtablx")</f>
        <v>FOIA-FWS-2020-00724-0003249.gdbtablx</v>
      </c>
    </row>
    <row r="3251" spans="1:12" ht="28.8" x14ac:dyDescent="0.55000000000000004">
      <c r="A3251" s="9" t="str">
        <f>HYPERLINK("PDF\FOIA-FWS-2020-00724-0003250.pdf","FOIA-FWS-2020-00724-0003250")</f>
        <v>FOIA-FWS-2020-00724-0003250</v>
      </c>
      <c r="B3251" s="3" t="s">
        <v>5101</v>
      </c>
      <c r="C3251" s="3" t="s">
        <v>234</v>
      </c>
      <c r="D3251" s="3" t="s">
        <v>160</v>
      </c>
      <c r="E3251" s="3" t="s">
        <v>4246</v>
      </c>
      <c r="F3251" s="4">
        <v>43829.704861111109</v>
      </c>
      <c r="G3251" s="3"/>
      <c r="H3251" s="3"/>
      <c r="I3251" s="3" t="s">
        <v>7043</v>
      </c>
      <c r="J3251" s="3"/>
      <c r="K3251" s="3"/>
      <c r="L3251" s="5" t="str">
        <f>HYPERLINK("NATIVE_FILES\FOIA-FWS-2020-00724-0003250.spx","FOIA-FWS-2020-00724-0003250.spx")</f>
        <v>FOIA-FWS-2020-00724-0003250.spx</v>
      </c>
    </row>
    <row r="3252" spans="1:12" ht="28.8" x14ac:dyDescent="0.55000000000000004">
      <c r="A3252" s="9" t="str">
        <f>HYPERLINK("PDF\FOIA-FWS-2020-00724-0003251.pdf","FOIA-FWS-2020-00724-0003251")</f>
        <v>FOIA-FWS-2020-00724-0003251</v>
      </c>
      <c r="B3252" s="3" t="s">
        <v>5101</v>
      </c>
      <c r="C3252" s="3" t="s">
        <v>234</v>
      </c>
      <c r="D3252" s="3" t="s">
        <v>160</v>
      </c>
      <c r="E3252" s="3" t="s">
        <v>4247</v>
      </c>
      <c r="F3252" s="4">
        <v>43829.704861111109</v>
      </c>
      <c r="G3252" s="3"/>
      <c r="H3252" s="3"/>
      <c r="I3252" s="3" t="s">
        <v>7043</v>
      </c>
      <c r="J3252" s="3"/>
      <c r="K3252" s="3"/>
      <c r="L3252" s="5" t="str">
        <f>HYPERLINK("NATIVE_FILES\FOIA-FWS-2020-00724-0003251.atx","FOIA-FWS-2020-00724-0003251.atx")</f>
        <v>FOIA-FWS-2020-00724-0003251.atx</v>
      </c>
    </row>
    <row r="3253" spans="1:12" ht="28.8" x14ac:dyDescent="0.55000000000000004">
      <c r="A3253" s="9" t="str">
        <f>HYPERLINK("PDF\FOIA-FWS-2020-00724-0003252.pdf","FOIA-FWS-2020-00724-0003252")</f>
        <v>FOIA-FWS-2020-00724-0003252</v>
      </c>
      <c r="B3253" s="3" t="s">
        <v>5101</v>
      </c>
      <c r="C3253" s="3" t="s">
        <v>234</v>
      </c>
      <c r="D3253" s="3" t="s">
        <v>160</v>
      </c>
      <c r="E3253" s="3" t="s">
        <v>4248</v>
      </c>
      <c r="F3253" s="4">
        <v>43829.704861111109</v>
      </c>
      <c r="G3253" s="3"/>
      <c r="H3253" s="3"/>
      <c r="I3253" s="3" t="s">
        <v>7043</v>
      </c>
      <c r="J3253" s="3"/>
      <c r="K3253" s="3"/>
      <c r="L3253" s="5" t="str">
        <f>HYPERLINK("NATIVE_FILES\FOIA-FWS-2020-00724-0003252.atx","FOIA-FWS-2020-00724-0003252.atx")</f>
        <v>FOIA-FWS-2020-00724-0003252.atx</v>
      </c>
    </row>
    <row r="3254" spans="1:12" ht="28.8" x14ac:dyDescent="0.55000000000000004">
      <c r="A3254" s="9" t="str">
        <f>HYPERLINK("PDF\FOIA-FWS-2020-00724-0003253.pdf","FOIA-FWS-2020-00724-0003253")</f>
        <v>FOIA-FWS-2020-00724-0003253</v>
      </c>
      <c r="B3254" s="3" t="s">
        <v>5101</v>
      </c>
      <c r="C3254" s="3" t="s">
        <v>234</v>
      </c>
      <c r="D3254" s="3" t="s">
        <v>160</v>
      </c>
      <c r="E3254" s="3" t="s">
        <v>4249</v>
      </c>
      <c r="F3254" s="4">
        <v>43829.704861111109</v>
      </c>
      <c r="G3254" s="3"/>
      <c r="H3254" s="3"/>
      <c r="I3254" s="3" t="s">
        <v>7043</v>
      </c>
      <c r="J3254" s="3"/>
      <c r="K3254" s="3"/>
      <c r="L3254" s="5" t="str">
        <f>HYPERLINK("NATIVE_FILES\FOIA-FWS-2020-00724-0003253.atx","FOIA-FWS-2020-00724-0003253.atx")</f>
        <v>FOIA-FWS-2020-00724-0003253.atx</v>
      </c>
    </row>
    <row r="3255" spans="1:12" ht="28.8" x14ac:dyDescent="0.55000000000000004">
      <c r="A3255" s="9" t="str">
        <f>HYPERLINK("PDF\FOIA-FWS-2020-00724-0003254.pdf","FOIA-FWS-2020-00724-0003254")</f>
        <v>FOIA-FWS-2020-00724-0003254</v>
      </c>
      <c r="B3255" s="3" t="s">
        <v>5101</v>
      </c>
      <c r="C3255" s="3" t="s">
        <v>234</v>
      </c>
      <c r="D3255" s="3" t="s">
        <v>160</v>
      </c>
      <c r="E3255" s="3" t="s">
        <v>5110</v>
      </c>
      <c r="F3255" s="4">
        <v>43829.704861111109</v>
      </c>
      <c r="G3255" s="3"/>
      <c r="H3255" s="3"/>
      <c r="I3255" s="3" t="s">
        <v>7043</v>
      </c>
      <c r="J3255" s="3"/>
      <c r="K3255" s="3"/>
      <c r="L3255" s="5" t="str">
        <f>HYPERLINK("NATIVE_FILES\FOIA-FWS-2020-00724-0003254.freelist","FOIA-FWS-2020-00724-0003254.freelist")</f>
        <v>FOIA-FWS-2020-00724-0003254.freelist</v>
      </c>
    </row>
    <row r="3256" spans="1:12" ht="28.8" x14ac:dyDescent="0.55000000000000004">
      <c r="A3256" s="9" t="str">
        <f>HYPERLINK("PDF\FOIA-FWS-2020-00724-0003255.pdf","FOIA-FWS-2020-00724-0003255")</f>
        <v>FOIA-FWS-2020-00724-0003255</v>
      </c>
      <c r="B3256" s="3" t="s">
        <v>5101</v>
      </c>
      <c r="C3256" s="3" t="s">
        <v>234</v>
      </c>
      <c r="D3256" s="3" t="s">
        <v>160</v>
      </c>
      <c r="E3256" s="3" t="s">
        <v>4250</v>
      </c>
      <c r="F3256" s="4">
        <v>43829.704861111109</v>
      </c>
      <c r="G3256" s="3"/>
      <c r="H3256" s="3"/>
      <c r="I3256" s="3" t="s">
        <v>7043</v>
      </c>
      <c r="J3256" s="3"/>
      <c r="K3256" s="3"/>
      <c r="L3256" s="5" t="str">
        <f>HYPERLINK("NATIVE_FILES\FOIA-FWS-2020-00724-0003255.gdbindexes","FOIA-FWS-2020-00724-0003255.gdbindexes")</f>
        <v>FOIA-FWS-2020-00724-0003255.gdbindexes</v>
      </c>
    </row>
    <row r="3257" spans="1:12" ht="28.8" x14ac:dyDescent="0.55000000000000004">
      <c r="A3257" s="9" t="str">
        <f>HYPERLINK("PDF\FOIA-FWS-2020-00724-0003256.pdf","FOIA-FWS-2020-00724-0003256")</f>
        <v>FOIA-FWS-2020-00724-0003256</v>
      </c>
      <c r="B3257" s="3" t="s">
        <v>5101</v>
      </c>
      <c r="C3257" s="3" t="s">
        <v>234</v>
      </c>
      <c r="D3257" s="3" t="s">
        <v>160</v>
      </c>
      <c r="E3257" s="3" t="s">
        <v>4251</v>
      </c>
      <c r="F3257" s="4">
        <v>43829.704861111109</v>
      </c>
      <c r="G3257" s="3"/>
      <c r="H3257" s="3"/>
      <c r="I3257" s="3" t="s">
        <v>7043</v>
      </c>
      <c r="J3257" s="3"/>
      <c r="K3257" s="3"/>
      <c r="L3257" s="5" t="str">
        <f>HYPERLINK("NATIVE_FILES\FOIA-FWS-2020-00724-0003256.gdbtable","FOIA-FWS-2020-00724-0003256.gdbtable")</f>
        <v>FOIA-FWS-2020-00724-0003256.gdbtable</v>
      </c>
    </row>
    <row r="3258" spans="1:12" ht="28.8" x14ac:dyDescent="0.55000000000000004">
      <c r="A3258" s="9" t="str">
        <f>HYPERLINK("PDF\FOIA-FWS-2020-00724-0003257.pdf","FOIA-FWS-2020-00724-0003257")</f>
        <v>FOIA-FWS-2020-00724-0003257</v>
      </c>
      <c r="B3258" s="3" t="s">
        <v>5101</v>
      </c>
      <c r="C3258" s="3" t="s">
        <v>234</v>
      </c>
      <c r="D3258" s="3" t="s">
        <v>160</v>
      </c>
      <c r="E3258" s="3" t="s">
        <v>4252</v>
      </c>
      <c r="F3258" s="4">
        <v>43829.704861111109</v>
      </c>
      <c r="G3258" s="3"/>
      <c r="H3258" s="3"/>
      <c r="I3258" s="3" t="s">
        <v>7043</v>
      </c>
      <c r="J3258" s="3"/>
      <c r="K3258" s="3"/>
      <c r="L3258" s="5" t="str">
        <f>HYPERLINK("NATIVE_FILES\FOIA-FWS-2020-00724-0003257.gdbtablx","FOIA-FWS-2020-00724-0003257.gdbtablx")</f>
        <v>FOIA-FWS-2020-00724-0003257.gdbtablx</v>
      </c>
    </row>
    <row r="3259" spans="1:12" ht="28.8" x14ac:dyDescent="0.55000000000000004">
      <c r="A3259" s="9" t="str">
        <f>HYPERLINK("PDF\FOIA-FWS-2020-00724-0003258.pdf","FOIA-FWS-2020-00724-0003258")</f>
        <v>FOIA-FWS-2020-00724-0003258</v>
      </c>
      <c r="B3259" s="3" t="s">
        <v>5101</v>
      </c>
      <c r="C3259" s="3" t="s">
        <v>234</v>
      </c>
      <c r="D3259" s="3" t="s">
        <v>160</v>
      </c>
      <c r="E3259" s="3" t="s">
        <v>4253</v>
      </c>
      <c r="F3259" s="4">
        <v>43829.704861111109</v>
      </c>
      <c r="G3259" s="3"/>
      <c r="H3259" s="3"/>
      <c r="I3259" s="3" t="s">
        <v>7043</v>
      </c>
      <c r="J3259" s="3"/>
      <c r="K3259" s="3"/>
      <c r="L3259" s="5" t="str">
        <f>HYPERLINK("NATIVE_FILES\FOIA-FWS-2020-00724-0003258.atx","FOIA-FWS-2020-00724-0003258.atx")</f>
        <v>FOIA-FWS-2020-00724-0003258.atx</v>
      </c>
    </row>
    <row r="3260" spans="1:12" ht="28.8" x14ac:dyDescent="0.55000000000000004">
      <c r="A3260" s="9" t="str">
        <f>HYPERLINK("PDF\FOIA-FWS-2020-00724-0003259.pdf","FOIA-FWS-2020-00724-0003259")</f>
        <v>FOIA-FWS-2020-00724-0003259</v>
      </c>
      <c r="B3260" s="3" t="s">
        <v>5101</v>
      </c>
      <c r="C3260" s="3" t="s">
        <v>234</v>
      </c>
      <c r="D3260" s="3" t="s">
        <v>160</v>
      </c>
      <c r="E3260" s="3" t="s">
        <v>4254</v>
      </c>
      <c r="F3260" s="4">
        <v>43829.704861111109</v>
      </c>
      <c r="G3260" s="3"/>
      <c r="H3260" s="3"/>
      <c r="I3260" s="3" t="s">
        <v>7043</v>
      </c>
      <c r="J3260" s="3"/>
      <c r="K3260" s="3"/>
      <c r="L3260" s="5" t="str">
        <f>HYPERLINK("NATIVE_FILES\FOIA-FWS-2020-00724-0003259.atx","FOIA-FWS-2020-00724-0003259.atx")</f>
        <v>FOIA-FWS-2020-00724-0003259.atx</v>
      </c>
    </row>
    <row r="3261" spans="1:12" ht="28.8" x14ac:dyDescent="0.55000000000000004">
      <c r="A3261" s="9" t="str">
        <f>HYPERLINK("PDF\FOIA-FWS-2020-00724-0003260.pdf","FOIA-FWS-2020-00724-0003260")</f>
        <v>FOIA-FWS-2020-00724-0003260</v>
      </c>
      <c r="B3261" s="3" t="s">
        <v>5101</v>
      </c>
      <c r="C3261" s="3" t="s">
        <v>234</v>
      </c>
      <c r="D3261" s="3" t="s">
        <v>160</v>
      </c>
      <c r="E3261" s="3" t="s">
        <v>4255</v>
      </c>
      <c r="F3261" s="4">
        <v>43829.704861111109</v>
      </c>
      <c r="G3261" s="3"/>
      <c r="H3261" s="3"/>
      <c r="I3261" s="3" t="s">
        <v>7043</v>
      </c>
      <c r="J3261" s="3"/>
      <c r="K3261" s="3"/>
      <c r="L3261" s="5" t="str">
        <f>HYPERLINK("NATIVE_FILES\FOIA-FWS-2020-00724-0003260.atx","FOIA-FWS-2020-00724-0003260.atx")</f>
        <v>FOIA-FWS-2020-00724-0003260.atx</v>
      </c>
    </row>
    <row r="3262" spans="1:12" ht="28.8" x14ac:dyDescent="0.55000000000000004">
      <c r="A3262" s="9" t="str">
        <f>HYPERLINK("PDF\FOIA-FWS-2020-00724-0003261.pdf","FOIA-FWS-2020-00724-0003261")</f>
        <v>FOIA-FWS-2020-00724-0003261</v>
      </c>
      <c r="B3262" s="3" t="s">
        <v>5101</v>
      </c>
      <c r="C3262" s="3" t="s">
        <v>234</v>
      </c>
      <c r="D3262" s="3" t="s">
        <v>160</v>
      </c>
      <c r="E3262" s="3" t="s">
        <v>4256</v>
      </c>
      <c r="F3262" s="4">
        <v>43829.704861111109</v>
      </c>
      <c r="G3262" s="3"/>
      <c r="H3262" s="3"/>
      <c r="I3262" s="3" t="s">
        <v>7043</v>
      </c>
      <c r="J3262" s="3"/>
      <c r="K3262" s="3"/>
      <c r="L3262" s="5" t="str">
        <f>HYPERLINK("NATIVE_FILES\FOIA-FWS-2020-00724-0003261.atx","FOIA-FWS-2020-00724-0003261.atx")</f>
        <v>FOIA-FWS-2020-00724-0003261.atx</v>
      </c>
    </row>
    <row r="3263" spans="1:12" ht="28.8" x14ac:dyDescent="0.55000000000000004">
      <c r="A3263" s="9" t="str">
        <f>HYPERLINK("PDF\FOIA-FWS-2020-00724-0003262.pdf","FOIA-FWS-2020-00724-0003262")</f>
        <v>FOIA-FWS-2020-00724-0003262</v>
      </c>
      <c r="B3263" s="3" t="s">
        <v>5101</v>
      </c>
      <c r="C3263" s="3" t="s">
        <v>234</v>
      </c>
      <c r="D3263" s="3" t="s">
        <v>160</v>
      </c>
      <c r="E3263" s="3" t="s">
        <v>5111</v>
      </c>
      <c r="F3263" s="4">
        <v>43829.704861111109</v>
      </c>
      <c r="G3263" s="3"/>
      <c r="H3263" s="3"/>
      <c r="I3263" s="3" t="s">
        <v>7043</v>
      </c>
      <c r="J3263" s="3"/>
      <c r="K3263" s="3"/>
      <c r="L3263" s="5" t="str">
        <f>HYPERLINK("NATIVE_FILES\FOIA-FWS-2020-00724-0003262.freelist","FOIA-FWS-2020-00724-0003262.freelist")</f>
        <v>FOIA-FWS-2020-00724-0003262.freelist</v>
      </c>
    </row>
    <row r="3264" spans="1:12" ht="28.8" x14ac:dyDescent="0.55000000000000004">
      <c r="A3264" s="9" t="str">
        <f>HYPERLINK("PDF\FOIA-FWS-2020-00724-0003263.pdf","FOIA-FWS-2020-00724-0003263")</f>
        <v>FOIA-FWS-2020-00724-0003263</v>
      </c>
      <c r="B3264" s="3" t="s">
        <v>5101</v>
      </c>
      <c r="C3264" s="3" t="s">
        <v>234</v>
      </c>
      <c r="D3264" s="3" t="s">
        <v>160</v>
      </c>
      <c r="E3264" s="3" t="s">
        <v>4257</v>
      </c>
      <c r="F3264" s="4">
        <v>43829.704861111109</v>
      </c>
      <c r="G3264" s="3"/>
      <c r="H3264" s="3"/>
      <c r="I3264" s="3" t="s">
        <v>7043</v>
      </c>
      <c r="J3264" s="3"/>
      <c r="K3264" s="3"/>
      <c r="L3264" s="5" t="str">
        <f>HYPERLINK("NATIVE_FILES\FOIA-FWS-2020-00724-0003263.gdbindexes","FOIA-FWS-2020-00724-0003263.gdbindexes")</f>
        <v>FOIA-FWS-2020-00724-0003263.gdbindexes</v>
      </c>
    </row>
    <row r="3265" spans="1:12" ht="28.8" x14ac:dyDescent="0.55000000000000004">
      <c r="A3265" s="9" t="str">
        <f>HYPERLINK("PDF\FOIA-FWS-2020-00724-0003264.pdf","FOIA-FWS-2020-00724-0003264")</f>
        <v>FOIA-FWS-2020-00724-0003264</v>
      </c>
      <c r="B3265" s="3" t="s">
        <v>5101</v>
      </c>
      <c r="C3265" s="3" t="s">
        <v>234</v>
      </c>
      <c r="D3265" s="3" t="s">
        <v>160</v>
      </c>
      <c r="E3265" s="3" t="s">
        <v>4258</v>
      </c>
      <c r="F3265" s="4">
        <v>43829.704861111109</v>
      </c>
      <c r="G3265" s="3"/>
      <c r="H3265" s="3"/>
      <c r="I3265" s="3" t="s">
        <v>7043</v>
      </c>
      <c r="J3265" s="3"/>
      <c r="K3265" s="3"/>
      <c r="L3265" s="5" t="str">
        <f>HYPERLINK("NATIVE_FILES\FOIA-FWS-2020-00724-0003264.gdbtable","FOIA-FWS-2020-00724-0003264.gdbtable")</f>
        <v>FOIA-FWS-2020-00724-0003264.gdbtable</v>
      </c>
    </row>
    <row r="3266" spans="1:12" ht="28.8" x14ac:dyDescent="0.55000000000000004">
      <c r="A3266" s="9" t="str">
        <f>HYPERLINK("PDF\FOIA-FWS-2020-00724-0003265.pdf","FOIA-FWS-2020-00724-0003265")</f>
        <v>FOIA-FWS-2020-00724-0003265</v>
      </c>
      <c r="B3266" s="3" t="s">
        <v>5101</v>
      </c>
      <c r="C3266" s="3" t="s">
        <v>234</v>
      </c>
      <c r="D3266" s="3" t="s">
        <v>160</v>
      </c>
      <c r="E3266" s="3" t="s">
        <v>4259</v>
      </c>
      <c r="F3266" s="4">
        <v>43829.704861111109</v>
      </c>
      <c r="G3266" s="3"/>
      <c r="H3266" s="3"/>
      <c r="I3266" s="3" t="s">
        <v>7043</v>
      </c>
      <c r="J3266" s="3"/>
      <c r="K3266" s="3"/>
      <c r="L3266" s="5" t="str">
        <f>HYPERLINK("NATIVE_FILES\FOIA-FWS-2020-00724-0003265.gdbtablx","FOIA-FWS-2020-00724-0003265.gdbtablx")</f>
        <v>FOIA-FWS-2020-00724-0003265.gdbtablx</v>
      </c>
    </row>
    <row r="3267" spans="1:12" ht="28.8" x14ac:dyDescent="0.55000000000000004">
      <c r="A3267" s="9" t="str">
        <f>HYPERLINK("PDF\FOIA-FWS-2020-00724-0003266.pdf","FOIA-FWS-2020-00724-0003266")</f>
        <v>FOIA-FWS-2020-00724-0003266</v>
      </c>
      <c r="B3267" s="3" t="s">
        <v>5101</v>
      </c>
      <c r="C3267" s="3" t="s">
        <v>234</v>
      </c>
      <c r="D3267" s="3" t="s">
        <v>160</v>
      </c>
      <c r="E3267" s="3" t="s">
        <v>4260</v>
      </c>
      <c r="F3267" s="4">
        <v>43829.704861111109</v>
      </c>
      <c r="G3267" s="3"/>
      <c r="H3267" s="3"/>
      <c r="I3267" s="3" t="s">
        <v>7043</v>
      </c>
      <c r="J3267" s="3"/>
      <c r="K3267" s="3"/>
      <c r="L3267" s="5" t="str">
        <f>HYPERLINK("NATIVE_FILES\FOIA-FWS-2020-00724-0003266.atx","FOIA-FWS-2020-00724-0003266.atx")</f>
        <v>FOIA-FWS-2020-00724-0003266.atx</v>
      </c>
    </row>
    <row r="3268" spans="1:12" ht="28.8" x14ac:dyDescent="0.55000000000000004">
      <c r="A3268" s="9" t="str">
        <f>HYPERLINK("PDF\FOIA-FWS-2020-00724-0003267.pdf","FOIA-FWS-2020-00724-0003267")</f>
        <v>FOIA-FWS-2020-00724-0003267</v>
      </c>
      <c r="B3268" s="3" t="s">
        <v>5101</v>
      </c>
      <c r="C3268" s="3" t="s">
        <v>234</v>
      </c>
      <c r="D3268" s="3" t="s">
        <v>160</v>
      </c>
      <c r="E3268" s="3" t="s">
        <v>4261</v>
      </c>
      <c r="F3268" s="4">
        <v>43829.704861111109</v>
      </c>
      <c r="G3268" s="3"/>
      <c r="H3268" s="3"/>
      <c r="I3268" s="3" t="s">
        <v>7043</v>
      </c>
      <c r="J3268" s="3"/>
      <c r="K3268" s="3"/>
      <c r="L3268" s="5" t="str">
        <f>HYPERLINK("NATIVE_FILES\FOIA-FWS-2020-00724-0003267.atx","FOIA-FWS-2020-00724-0003267.atx")</f>
        <v>FOIA-FWS-2020-00724-0003267.atx</v>
      </c>
    </row>
    <row r="3269" spans="1:12" ht="28.8" x14ac:dyDescent="0.55000000000000004">
      <c r="A3269" s="9" t="str">
        <f>HYPERLINK("PDF\FOIA-FWS-2020-00724-0003268.pdf","FOIA-FWS-2020-00724-0003268")</f>
        <v>FOIA-FWS-2020-00724-0003268</v>
      </c>
      <c r="B3269" s="3" t="s">
        <v>5101</v>
      </c>
      <c r="C3269" s="3" t="s">
        <v>234</v>
      </c>
      <c r="D3269" s="3" t="s">
        <v>160</v>
      </c>
      <c r="E3269" s="3" t="s">
        <v>4262</v>
      </c>
      <c r="F3269" s="4">
        <v>43829.704861111109</v>
      </c>
      <c r="G3269" s="3"/>
      <c r="H3269" s="3"/>
      <c r="I3269" s="3" t="s">
        <v>7043</v>
      </c>
      <c r="J3269" s="3"/>
      <c r="K3269" s="3"/>
      <c r="L3269" s="5" t="str">
        <f>HYPERLINK("NATIVE_FILES\FOIA-FWS-2020-00724-0003268.atx","FOIA-FWS-2020-00724-0003268.atx")</f>
        <v>FOIA-FWS-2020-00724-0003268.atx</v>
      </c>
    </row>
    <row r="3270" spans="1:12" ht="28.8" x14ac:dyDescent="0.55000000000000004">
      <c r="A3270" s="9" t="str">
        <f>HYPERLINK("PDF\FOIA-FWS-2020-00724-0003269.pdf","FOIA-FWS-2020-00724-0003269")</f>
        <v>FOIA-FWS-2020-00724-0003269</v>
      </c>
      <c r="B3270" s="3" t="s">
        <v>5101</v>
      </c>
      <c r="C3270" s="3" t="s">
        <v>234</v>
      </c>
      <c r="D3270" s="3" t="s">
        <v>160</v>
      </c>
      <c r="E3270" s="3" t="s">
        <v>4263</v>
      </c>
      <c r="F3270" s="4">
        <v>43829.704861111109</v>
      </c>
      <c r="G3270" s="3"/>
      <c r="H3270" s="3"/>
      <c r="I3270" s="3" t="s">
        <v>7043</v>
      </c>
      <c r="J3270" s="3"/>
      <c r="K3270" s="3"/>
      <c r="L3270" s="5" t="str">
        <f>HYPERLINK("NATIVE_FILES\FOIA-FWS-2020-00724-0003269.atx","FOIA-FWS-2020-00724-0003269.atx")</f>
        <v>FOIA-FWS-2020-00724-0003269.atx</v>
      </c>
    </row>
    <row r="3271" spans="1:12" ht="28.8" x14ac:dyDescent="0.55000000000000004">
      <c r="A3271" s="9" t="str">
        <f>HYPERLINK("PDF\FOIA-FWS-2020-00724-0003270.pdf","FOIA-FWS-2020-00724-0003270")</f>
        <v>FOIA-FWS-2020-00724-0003270</v>
      </c>
      <c r="B3271" s="3" t="s">
        <v>5101</v>
      </c>
      <c r="C3271" s="3" t="s">
        <v>234</v>
      </c>
      <c r="D3271" s="3" t="s">
        <v>160</v>
      </c>
      <c r="E3271" s="3" t="s">
        <v>4264</v>
      </c>
      <c r="F3271" s="4">
        <v>43829.704861111109</v>
      </c>
      <c r="G3271" s="3"/>
      <c r="H3271" s="3"/>
      <c r="I3271" s="3" t="s">
        <v>7043</v>
      </c>
      <c r="J3271" s="3"/>
      <c r="K3271" s="3"/>
      <c r="L3271" s="5" t="str">
        <f>HYPERLINK("NATIVE_FILES\FOIA-FWS-2020-00724-0003270.atx","FOIA-FWS-2020-00724-0003270.atx")</f>
        <v>FOIA-FWS-2020-00724-0003270.atx</v>
      </c>
    </row>
    <row r="3272" spans="1:12" ht="28.8" x14ac:dyDescent="0.55000000000000004">
      <c r="A3272" s="9" t="str">
        <f>HYPERLINK("PDF\FOIA-FWS-2020-00724-0003271.pdf","FOIA-FWS-2020-00724-0003271")</f>
        <v>FOIA-FWS-2020-00724-0003271</v>
      </c>
      <c r="B3272" s="3" t="s">
        <v>5101</v>
      </c>
      <c r="C3272" s="3" t="s">
        <v>234</v>
      </c>
      <c r="D3272" s="3" t="s">
        <v>160</v>
      </c>
      <c r="E3272" s="3" t="s">
        <v>4265</v>
      </c>
      <c r="F3272" s="4">
        <v>43829.704861111109</v>
      </c>
      <c r="G3272" s="3"/>
      <c r="H3272" s="3"/>
      <c r="I3272" s="3" t="s">
        <v>7043</v>
      </c>
      <c r="J3272" s="3"/>
      <c r="K3272" s="3"/>
      <c r="L3272" s="5" t="str">
        <f>HYPERLINK("NATIVE_FILES\FOIA-FWS-2020-00724-0003271.atx","FOIA-FWS-2020-00724-0003271.atx")</f>
        <v>FOIA-FWS-2020-00724-0003271.atx</v>
      </c>
    </row>
    <row r="3273" spans="1:12" ht="28.8" x14ac:dyDescent="0.55000000000000004">
      <c r="A3273" s="9" t="str">
        <f>HYPERLINK("PDF\FOIA-FWS-2020-00724-0003272.pdf","FOIA-FWS-2020-00724-0003272")</f>
        <v>FOIA-FWS-2020-00724-0003272</v>
      </c>
      <c r="B3273" s="3" t="s">
        <v>5101</v>
      </c>
      <c r="C3273" s="3" t="s">
        <v>234</v>
      </c>
      <c r="D3273" s="3" t="s">
        <v>160</v>
      </c>
      <c r="E3273" s="3" t="s">
        <v>5112</v>
      </c>
      <c r="F3273" s="4">
        <v>43829.704861111109</v>
      </c>
      <c r="G3273" s="3"/>
      <c r="H3273" s="3"/>
      <c r="I3273" s="3" t="s">
        <v>7043</v>
      </c>
      <c r="J3273" s="3"/>
      <c r="K3273" s="3"/>
      <c r="L3273" s="5" t="str">
        <f>HYPERLINK("NATIVE_FILES\FOIA-FWS-2020-00724-0003272.freelist","FOIA-FWS-2020-00724-0003272.freelist")</f>
        <v>FOIA-FWS-2020-00724-0003272.freelist</v>
      </c>
    </row>
    <row r="3274" spans="1:12" ht="28.8" x14ac:dyDescent="0.55000000000000004">
      <c r="A3274" s="9" t="str">
        <f>HYPERLINK("PDF\FOIA-FWS-2020-00724-0003273.pdf","FOIA-FWS-2020-00724-0003273")</f>
        <v>FOIA-FWS-2020-00724-0003273</v>
      </c>
      <c r="B3274" s="3" t="s">
        <v>5101</v>
      </c>
      <c r="C3274" s="3" t="s">
        <v>234</v>
      </c>
      <c r="D3274" s="3" t="s">
        <v>160</v>
      </c>
      <c r="E3274" s="3" t="s">
        <v>4266</v>
      </c>
      <c r="F3274" s="4">
        <v>43829.704861111109</v>
      </c>
      <c r="G3274" s="3"/>
      <c r="H3274" s="3"/>
      <c r="I3274" s="3" t="s">
        <v>7043</v>
      </c>
      <c r="J3274" s="3"/>
      <c r="K3274" s="3"/>
      <c r="L3274" s="5" t="str">
        <f>HYPERLINK("NATIVE_FILES\FOIA-FWS-2020-00724-0003273.gdbindexes","FOIA-FWS-2020-00724-0003273.gdbindexes")</f>
        <v>FOIA-FWS-2020-00724-0003273.gdbindexes</v>
      </c>
    </row>
    <row r="3275" spans="1:12" ht="28.8" x14ac:dyDescent="0.55000000000000004">
      <c r="A3275" s="9" t="str">
        <f>HYPERLINK("PDF\FOIA-FWS-2020-00724-0003274.pdf","FOIA-FWS-2020-00724-0003274")</f>
        <v>FOIA-FWS-2020-00724-0003274</v>
      </c>
      <c r="B3275" s="3" t="s">
        <v>5101</v>
      </c>
      <c r="C3275" s="3" t="s">
        <v>234</v>
      </c>
      <c r="D3275" s="3" t="s">
        <v>160</v>
      </c>
      <c r="E3275" s="3" t="s">
        <v>4267</v>
      </c>
      <c r="F3275" s="4">
        <v>43829.704861111109</v>
      </c>
      <c r="G3275" s="3"/>
      <c r="H3275" s="3"/>
      <c r="I3275" s="3" t="s">
        <v>7043</v>
      </c>
      <c r="J3275" s="3"/>
      <c r="K3275" s="3"/>
      <c r="L3275" s="5" t="str">
        <f>HYPERLINK("NATIVE_FILES\FOIA-FWS-2020-00724-0003274.gdbtable","FOIA-FWS-2020-00724-0003274.gdbtable")</f>
        <v>FOIA-FWS-2020-00724-0003274.gdbtable</v>
      </c>
    </row>
    <row r="3276" spans="1:12" ht="28.8" x14ac:dyDescent="0.55000000000000004">
      <c r="A3276" s="9" t="str">
        <f>HYPERLINK("PDF\FOIA-FWS-2020-00724-0003275.pdf","FOIA-FWS-2020-00724-0003275")</f>
        <v>FOIA-FWS-2020-00724-0003275</v>
      </c>
      <c r="B3276" s="3" t="s">
        <v>5101</v>
      </c>
      <c r="C3276" s="3" t="s">
        <v>234</v>
      </c>
      <c r="D3276" s="3" t="s">
        <v>160</v>
      </c>
      <c r="E3276" s="3" t="s">
        <v>4268</v>
      </c>
      <c r="F3276" s="4">
        <v>43829.704861111109</v>
      </c>
      <c r="G3276" s="3"/>
      <c r="H3276" s="3"/>
      <c r="I3276" s="3" t="s">
        <v>7043</v>
      </c>
      <c r="J3276" s="3"/>
      <c r="K3276" s="3"/>
      <c r="L3276" s="5" t="str">
        <f>HYPERLINK("NATIVE_FILES\FOIA-FWS-2020-00724-0003275.gdbtablx","FOIA-FWS-2020-00724-0003275.gdbtablx")</f>
        <v>FOIA-FWS-2020-00724-0003275.gdbtablx</v>
      </c>
    </row>
    <row r="3277" spans="1:12" ht="28.8" x14ac:dyDescent="0.55000000000000004">
      <c r="A3277" s="9" t="str">
        <f>HYPERLINK("PDF\FOIA-FWS-2020-00724-0003276.pdf","FOIA-FWS-2020-00724-0003276")</f>
        <v>FOIA-FWS-2020-00724-0003276</v>
      </c>
      <c r="B3277" s="3" t="s">
        <v>5113</v>
      </c>
      <c r="C3277" s="3" t="s">
        <v>3</v>
      </c>
      <c r="D3277" s="3" t="s">
        <v>33</v>
      </c>
      <c r="E3277" s="3" t="s">
        <v>5114</v>
      </c>
      <c r="F3277" s="4">
        <v>43829.706944444442</v>
      </c>
      <c r="G3277" s="3" t="s">
        <v>5102</v>
      </c>
      <c r="H3277" s="3" t="s">
        <v>861</v>
      </c>
      <c r="I3277" s="3" t="s">
        <v>7043</v>
      </c>
      <c r="J3277" s="3"/>
      <c r="K3277" s="3"/>
      <c r="L3277" s="5"/>
    </row>
    <row r="3278" spans="1:12" ht="72" x14ac:dyDescent="0.55000000000000004">
      <c r="A3278" s="9" t="str">
        <f>HYPERLINK("PDF\FOIA-FWS-2020-00724-0003277.pdf","FOIA-FWS-2020-00724-0003277")</f>
        <v>FOIA-FWS-2020-00724-0003277</v>
      </c>
      <c r="B3278" s="3" t="s">
        <v>5115</v>
      </c>
      <c r="C3278" s="3" t="s">
        <v>3</v>
      </c>
      <c r="D3278" s="3" t="s">
        <v>33</v>
      </c>
      <c r="E3278" s="3" t="s">
        <v>5116</v>
      </c>
      <c r="F3278" s="4">
        <v>43829.707638888889</v>
      </c>
      <c r="G3278" s="3" t="s">
        <v>963</v>
      </c>
      <c r="H3278" s="3" t="s">
        <v>945</v>
      </c>
      <c r="I3278" s="3" t="s">
        <v>7043</v>
      </c>
      <c r="J3278" s="3"/>
      <c r="K3278" s="3"/>
      <c r="L3278" s="5"/>
    </row>
    <row r="3279" spans="1:12" ht="28.8" x14ac:dyDescent="0.55000000000000004">
      <c r="A3279" s="9" t="str">
        <f>HYPERLINK("PDF\FOIA-FWS-2020-00724-0003278.pdf","FOIA-FWS-2020-00724-0003278")</f>
        <v>FOIA-FWS-2020-00724-0003278</v>
      </c>
      <c r="B3279" s="3" t="s">
        <v>5115</v>
      </c>
      <c r="C3279" s="3" t="s">
        <v>234</v>
      </c>
      <c r="D3279" s="3" t="s">
        <v>4</v>
      </c>
      <c r="E3279" s="3" t="s">
        <v>4502</v>
      </c>
      <c r="F3279" s="4">
        <v>43829.707638888889</v>
      </c>
      <c r="G3279" s="3"/>
      <c r="H3279" s="3"/>
      <c r="I3279" s="3" t="s">
        <v>7043</v>
      </c>
      <c r="J3279" s="3"/>
      <c r="K3279" s="3"/>
      <c r="L3279" s="5"/>
    </row>
    <row r="3280" spans="1:12" ht="28.8" x14ac:dyDescent="0.55000000000000004">
      <c r="A3280" s="9" t="str">
        <f>HYPERLINK("PDF\FOIA-FWS-2020-00724-0003279.pdf","FOIA-FWS-2020-00724-0003279")</f>
        <v>FOIA-FWS-2020-00724-0003279</v>
      </c>
      <c r="B3280" s="3" t="s">
        <v>5115</v>
      </c>
      <c r="C3280" s="3" t="s">
        <v>234</v>
      </c>
      <c r="D3280" s="3" t="s">
        <v>38</v>
      </c>
      <c r="E3280" s="3" t="s">
        <v>4503</v>
      </c>
      <c r="F3280" s="4">
        <v>43829.707638888889</v>
      </c>
      <c r="G3280" s="3"/>
      <c r="H3280" s="3"/>
      <c r="I3280" s="3" t="s">
        <v>7043</v>
      </c>
      <c r="J3280" s="3"/>
      <c r="K3280" s="3"/>
      <c r="L3280" s="5"/>
    </row>
    <row r="3281" spans="1:12" ht="28.8" x14ac:dyDescent="0.55000000000000004">
      <c r="A3281" s="9" t="str">
        <f>HYPERLINK("PDF\FOIA-FWS-2020-00724-0003280.pdf","FOIA-FWS-2020-00724-0003280")</f>
        <v>FOIA-FWS-2020-00724-0003280</v>
      </c>
      <c r="B3281" s="3" t="s">
        <v>5115</v>
      </c>
      <c r="C3281" s="3" t="s">
        <v>234</v>
      </c>
      <c r="D3281" s="3" t="s">
        <v>4</v>
      </c>
      <c r="E3281" s="3" t="s">
        <v>4504</v>
      </c>
      <c r="F3281" s="4">
        <v>43829.707638888889</v>
      </c>
      <c r="G3281" s="3"/>
      <c r="H3281" s="3"/>
      <c r="I3281" s="3" t="s">
        <v>7043</v>
      </c>
      <c r="J3281" s="3"/>
      <c r="K3281" s="3"/>
      <c r="L3281" s="5"/>
    </row>
    <row r="3282" spans="1:12" ht="28.8" x14ac:dyDescent="0.55000000000000004">
      <c r="A3282" s="9" t="str">
        <f>HYPERLINK("PDF\FOIA-FWS-2020-00724-0003281.pdf","FOIA-FWS-2020-00724-0003281")</f>
        <v>FOIA-FWS-2020-00724-0003281</v>
      </c>
      <c r="B3282" s="3" t="s">
        <v>5117</v>
      </c>
      <c r="C3282" s="3" t="s">
        <v>3</v>
      </c>
      <c r="D3282" s="3" t="s">
        <v>33</v>
      </c>
      <c r="E3282" s="3" t="s">
        <v>5119</v>
      </c>
      <c r="F3282" s="4">
        <v>43829.727777777778</v>
      </c>
      <c r="G3282" s="3" t="s">
        <v>963</v>
      </c>
      <c r="H3282" s="3" t="s">
        <v>5118</v>
      </c>
      <c r="I3282" s="3" t="s">
        <v>7043</v>
      </c>
      <c r="J3282" s="3"/>
      <c r="K3282" s="3"/>
      <c r="L3282" s="5"/>
    </row>
    <row r="3283" spans="1:12" ht="28.8" x14ac:dyDescent="0.55000000000000004">
      <c r="A3283" s="9" t="str">
        <f>HYPERLINK("PDF\FOIA-FWS-2020-00724-0003282.pdf","FOIA-FWS-2020-00724-0003282")</f>
        <v>FOIA-FWS-2020-00724-0003282</v>
      </c>
      <c r="B3283" s="3" t="s">
        <v>5120</v>
      </c>
      <c r="C3283" s="3" t="s">
        <v>3</v>
      </c>
      <c r="D3283" s="3" t="s">
        <v>33</v>
      </c>
      <c r="E3283" s="3" t="s">
        <v>5121</v>
      </c>
      <c r="F3283" s="4">
        <v>43830.556250000001</v>
      </c>
      <c r="G3283" s="3" t="s">
        <v>1250</v>
      </c>
      <c r="H3283" s="3" t="s">
        <v>963</v>
      </c>
      <c r="I3283" s="3" t="s">
        <v>7043</v>
      </c>
      <c r="J3283" s="3"/>
      <c r="K3283" s="3"/>
      <c r="L3283" s="5"/>
    </row>
    <row r="3284" spans="1:12" ht="28.8" x14ac:dyDescent="0.55000000000000004">
      <c r="A3284" s="9" t="str">
        <f>HYPERLINK("PDF\FOIA-FWS-2020-00724-0003283.pdf","FOIA-FWS-2020-00724-0003283")</f>
        <v>FOIA-FWS-2020-00724-0003283</v>
      </c>
      <c r="B3284" s="3" t="s">
        <v>5122</v>
      </c>
      <c r="C3284" s="3" t="s">
        <v>3</v>
      </c>
      <c r="D3284" s="3" t="s">
        <v>33</v>
      </c>
      <c r="E3284" s="3" t="s">
        <v>5123</v>
      </c>
      <c r="F3284" s="4">
        <v>43831</v>
      </c>
      <c r="G3284" s="3"/>
      <c r="H3284" s="3"/>
      <c r="I3284" s="3" t="s">
        <v>7043</v>
      </c>
      <c r="J3284" s="3"/>
      <c r="K3284" s="3"/>
      <c r="L3284" s="5"/>
    </row>
    <row r="3285" spans="1:12" ht="28.8" x14ac:dyDescent="0.55000000000000004">
      <c r="A3285" s="9" t="str">
        <f>HYPERLINK("PDF\FOIA-FWS-2020-00724-0003284.pdf","FOIA-FWS-2020-00724-0003284")</f>
        <v>FOIA-FWS-2020-00724-0003284</v>
      </c>
      <c r="B3285" s="3" t="s">
        <v>5124</v>
      </c>
      <c r="C3285" s="3" t="s">
        <v>3</v>
      </c>
      <c r="D3285" s="3" t="s">
        <v>33</v>
      </c>
      <c r="E3285" s="3" t="s">
        <v>5125</v>
      </c>
      <c r="F3285" s="4">
        <v>43831</v>
      </c>
      <c r="G3285" s="3"/>
      <c r="H3285" s="3"/>
      <c r="I3285" s="3" t="s">
        <v>7043</v>
      </c>
      <c r="J3285" s="3"/>
      <c r="K3285" s="3"/>
      <c r="L3285" s="5"/>
    </row>
    <row r="3286" spans="1:12" ht="28.8" x14ac:dyDescent="0.55000000000000004">
      <c r="A3286" s="9" t="str">
        <f>HYPERLINK("PDF\FOIA-FWS-2020-00724-0003285.pdf","FOIA-FWS-2020-00724-0003285")</f>
        <v>FOIA-FWS-2020-00724-0003285</v>
      </c>
      <c r="B3286" s="3" t="s">
        <v>5126</v>
      </c>
      <c r="C3286" s="3" t="s">
        <v>3</v>
      </c>
      <c r="D3286" s="3" t="s">
        <v>33</v>
      </c>
      <c r="E3286" s="3" t="s">
        <v>5127</v>
      </c>
      <c r="F3286" s="4">
        <v>43831</v>
      </c>
      <c r="G3286" s="3"/>
      <c r="H3286" s="3"/>
      <c r="I3286" s="3" t="s">
        <v>7043</v>
      </c>
      <c r="J3286" s="3"/>
      <c r="K3286" s="3"/>
      <c r="L3286" s="5"/>
    </row>
    <row r="3287" spans="1:12" ht="28.8" x14ac:dyDescent="0.55000000000000004">
      <c r="A3287" s="9" t="str">
        <f>HYPERLINK("PDF\FOIA-FWS-2020-00724-0003286.pdf","FOIA-FWS-2020-00724-0003286")</f>
        <v>FOIA-FWS-2020-00724-0003286</v>
      </c>
      <c r="B3287" s="3" t="s">
        <v>5128</v>
      </c>
      <c r="C3287" s="3" t="s">
        <v>3</v>
      </c>
      <c r="D3287" s="3" t="s">
        <v>4</v>
      </c>
      <c r="E3287" s="3" t="s">
        <v>5129</v>
      </c>
      <c r="F3287" s="4">
        <v>43831</v>
      </c>
      <c r="G3287" s="3"/>
      <c r="H3287" s="3"/>
      <c r="I3287" s="3" t="s">
        <v>7043</v>
      </c>
      <c r="J3287" s="3"/>
      <c r="K3287" s="3"/>
      <c r="L3287" s="5"/>
    </row>
    <row r="3288" spans="1:12" ht="28.8" x14ac:dyDescent="0.55000000000000004">
      <c r="A3288" s="9" t="str">
        <f>HYPERLINK("PDF\FOIA-FWS-2020-00724-0003287.pdf","FOIA-FWS-2020-00724-0003287")</f>
        <v>FOIA-FWS-2020-00724-0003287</v>
      </c>
      <c r="B3288" s="3" t="s">
        <v>5130</v>
      </c>
      <c r="C3288" s="3" t="s">
        <v>3</v>
      </c>
      <c r="D3288" s="3" t="s">
        <v>38</v>
      </c>
      <c r="E3288" s="3" t="s">
        <v>5132</v>
      </c>
      <c r="F3288" s="4">
        <v>43832</v>
      </c>
      <c r="G3288" s="3" t="s">
        <v>5131</v>
      </c>
      <c r="H3288" s="3"/>
      <c r="I3288" s="3" t="s">
        <v>7043</v>
      </c>
      <c r="J3288" s="3"/>
      <c r="K3288" s="3"/>
      <c r="L3288" s="5"/>
    </row>
    <row r="3289" spans="1:12" ht="28.8" x14ac:dyDescent="0.55000000000000004">
      <c r="A3289" s="9" t="str">
        <f>HYPERLINK("PDF\FOIA-FWS-2020-00724-0003288.pdf","FOIA-FWS-2020-00724-0003288")</f>
        <v>FOIA-FWS-2020-00724-0003288</v>
      </c>
      <c r="B3289" s="3" t="s">
        <v>5130</v>
      </c>
      <c r="C3289" s="3" t="s">
        <v>234</v>
      </c>
      <c r="D3289" s="3" t="s">
        <v>38</v>
      </c>
      <c r="E3289" s="3" t="s">
        <v>5134</v>
      </c>
      <c r="F3289" s="4">
        <v>43832</v>
      </c>
      <c r="G3289" s="3" t="s">
        <v>5133</v>
      </c>
      <c r="H3289" s="3"/>
      <c r="I3289" s="3" t="s">
        <v>7043</v>
      </c>
      <c r="J3289" s="3"/>
      <c r="K3289" s="3"/>
      <c r="L3289" s="5"/>
    </row>
    <row r="3290" spans="1:12" ht="28.8" x14ac:dyDescent="0.55000000000000004">
      <c r="A3290" s="9" t="str">
        <f>HYPERLINK("PDF\FOIA-FWS-2020-00724-0003289.pdf","FOIA-FWS-2020-00724-0003289")</f>
        <v>FOIA-FWS-2020-00724-0003289</v>
      </c>
      <c r="B3290" s="3" t="s">
        <v>5135</v>
      </c>
      <c r="C3290" s="3" t="s">
        <v>3</v>
      </c>
      <c r="D3290" s="3" t="s">
        <v>38</v>
      </c>
      <c r="E3290" s="3" t="s">
        <v>5137</v>
      </c>
      <c r="F3290" s="4">
        <v>43832</v>
      </c>
      <c r="G3290" s="3" t="s">
        <v>5136</v>
      </c>
      <c r="H3290" s="3"/>
      <c r="I3290" s="3" t="s">
        <v>7043</v>
      </c>
      <c r="J3290" s="3"/>
      <c r="K3290" s="3"/>
      <c r="L3290" s="5"/>
    </row>
    <row r="3291" spans="1:12" ht="28.8" x14ac:dyDescent="0.55000000000000004">
      <c r="A3291" s="9" t="str">
        <f>HYPERLINK("PDF\FOIA-FWS-2020-00724-0003290.pdf","FOIA-FWS-2020-00724-0003290")</f>
        <v>FOIA-FWS-2020-00724-0003290</v>
      </c>
      <c r="B3291" s="3" t="s">
        <v>5138</v>
      </c>
      <c r="C3291" s="3" t="s">
        <v>3</v>
      </c>
      <c r="D3291" s="3" t="s">
        <v>38</v>
      </c>
      <c r="E3291" s="3" t="s">
        <v>5140</v>
      </c>
      <c r="F3291" s="4">
        <v>43832</v>
      </c>
      <c r="G3291" s="3" t="s">
        <v>5139</v>
      </c>
      <c r="H3291" s="3"/>
      <c r="I3291" s="3" t="s">
        <v>7043</v>
      </c>
      <c r="J3291" s="3"/>
      <c r="K3291" s="3"/>
      <c r="L3291" s="5"/>
    </row>
    <row r="3292" spans="1:12" ht="28.8" x14ac:dyDescent="0.55000000000000004">
      <c r="A3292" s="9" t="str">
        <f>HYPERLINK("PDF\FOIA-FWS-2020-00724-0003291.pdf","FOIA-FWS-2020-00724-0003291")</f>
        <v>FOIA-FWS-2020-00724-0003291</v>
      </c>
      <c r="B3292" s="3" t="s">
        <v>5141</v>
      </c>
      <c r="C3292" s="3" t="s">
        <v>3</v>
      </c>
      <c r="D3292" s="3" t="s">
        <v>38</v>
      </c>
      <c r="E3292" s="3" t="s">
        <v>5142</v>
      </c>
      <c r="F3292" s="4">
        <v>43832</v>
      </c>
      <c r="G3292" s="3"/>
      <c r="H3292" s="3"/>
      <c r="I3292" s="3" t="s">
        <v>7043</v>
      </c>
      <c r="J3292" s="3"/>
      <c r="K3292" s="3"/>
      <c r="L3292" s="5"/>
    </row>
    <row r="3293" spans="1:12" ht="28.8" x14ac:dyDescent="0.55000000000000004">
      <c r="A3293" s="9" t="str">
        <f>HYPERLINK("PDF\FOIA-FWS-2020-00724-0003292.pdf","FOIA-FWS-2020-00724-0003292")</f>
        <v>FOIA-FWS-2020-00724-0003292</v>
      </c>
      <c r="B3293" s="3" t="s">
        <v>5143</v>
      </c>
      <c r="C3293" s="3" t="s">
        <v>3</v>
      </c>
      <c r="D3293" s="3" t="s">
        <v>38</v>
      </c>
      <c r="E3293" s="3" t="s">
        <v>5144</v>
      </c>
      <c r="F3293" s="4">
        <v>43832</v>
      </c>
      <c r="G3293" s="3"/>
      <c r="H3293" s="3"/>
      <c r="I3293" s="3" t="s">
        <v>7043</v>
      </c>
      <c r="J3293" s="3"/>
      <c r="K3293" s="3"/>
      <c r="L3293" s="5"/>
    </row>
    <row r="3294" spans="1:12" ht="28.8" x14ac:dyDescent="0.55000000000000004">
      <c r="A3294" s="9" t="str">
        <f>HYPERLINK("PDF\FOIA-FWS-2020-00724-0003293.pdf","FOIA-FWS-2020-00724-0003293")</f>
        <v>FOIA-FWS-2020-00724-0003293</v>
      </c>
      <c r="B3294" s="3" t="s">
        <v>5143</v>
      </c>
      <c r="C3294" s="3" t="s">
        <v>234</v>
      </c>
      <c r="D3294" s="3" t="s">
        <v>38</v>
      </c>
      <c r="E3294" s="3" t="s">
        <v>5145</v>
      </c>
      <c r="F3294" s="4">
        <v>43832</v>
      </c>
      <c r="G3294" s="3"/>
      <c r="H3294" s="3"/>
      <c r="I3294" s="3" t="s">
        <v>7043</v>
      </c>
      <c r="J3294" s="3"/>
      <c r="K3294" s="3"/>
      <c r="L3294" s="5"/>
    </row>
    <row r="3295" spans="1:12" ht="28.8" x14ac:dyDescent="0.55000000000000004">
      <c r="A3295" s="9" t="str">
        <f>HYPERLINK("PDF\FOIA-FWS-2020-00724-0003294.pdf","FOIA-FWS-2020-00724-0003294")</f>
        <v>FOIA-FWS-2020-00724-0003294</v>
      </c>
      <c r="B3295" s="3" t="s">
        <v>5146</v>
      </c>
      <c r="C3295" s="3" t="s">
        <v>3</v>
      </c>
      <c r="D3295" s="3" t="s">
        <v>38</v>
      </c>
      <c r="E3295" s="3" t="s">
        <v>5147</v>
      </c>
      <c r="F3295" s="4">
        <v>43832</v>
      </c>
      <c r="G3295" s="3"/>
      <c r="H3295" s="3"/>
      <c r="I3295" s="3" t="s">
        <v>7043</v>
      </c>
      <c r="J3295" s="3"/>
      <c r="K3295" s="3"/>
      <c r="L3295" s="5"/>
    </row>
    <row r="3296" spans="1:12" ht="28.8" x14ac:dyDescent="0.55000000000000004">
      <c r="A3296" s="9" t="str">
        <f>HYPERLINK("PDF\FOIA-FWS-2020-00724-0003295.pdf","FOIA-FWS-2020-00724-0003295")</f>
        <v>FOIA-FWS-2020-00724-0003295</v>
      </c>
      <c r="B3296" s="3" t="s">
        <v>5146</v>
      </c>
      <c r="C3296" s="3" t="s">
        <v>234</v>
      </c>
      <c r="D3296" s="3" t="s">
        <v>38</v>
      </c>
      <c r="E3296" s="3" t="s">
        <v>5148</v>
      </c>
      <c r="F3296" s="4">
        <v>43832</v>
      </c>
      <c r="G3296" s="3"/>
      <c r="H3296" s="3"/>
      <c r="I3296" s="3" t="s">
        <v>7043</v>
      </c>
      <c r="J3296" s="3"/>
      <c r="K3296" s="3"/>
      <c r="L3296" s="5"/>
    </row>
    <row r="3297" spans="1:12" ht="28.8" x14ac:dyDescent="0.55000000000000004">
      <c r="A3297" s="9" t="str">
        <f>HYPERLINK("PDF\FOIA-FWS-2020-00724-0003296.pdf","FOIA-FWS-2020-00724-0003296")</f>
        <v>FOIA-FWS-2020-00724-0003296</v>
      </c>
      <c r="B3297" s="3" t="s">
        <v>5149</v>
      </c>
      <c r="C3297" s="3" t="s">
        <v>3</v>
      </c>
      <c r="D3297" s="3" t="s">
        <v>38</v>
      </c>
      <c r="E3297" s="3" t="s">
        <v>5150</v>
      </c>
      <c r="F3297" s="4">
        <v>43832</v>
      </c>
      <c r="G3297" s="3"/>
      <c r="H3297" s="3"/>
      <c r="I3297" s="3" t="s">
        <v>7043</v>
      </c>
      <c r="J3297" s="3"/>
      <c r="K3297" s="3"/>
      <c r="L3297" s="5"/>
    </row>
    <row r="3298" spans="1:12" ht="28.8" x14ac:dyDescent="0.55000000000000004">
      <c r="A3298" s="9" t="str">
        <f>HYPERLINK("PDF\FOIA-FWS-2020-00724-0003297.pdf","FOIA-FWS-2020-00724-0003297")</f>
        <v>FOIA-FWS-2020-00724-0003297</v>
      </c>
      <c r="B3298" s="3" t="s">
        <v>5149</v>
      </c>
      <c r="C3298" s="3" t="s">
        <v>234</v>
      </c>
      <c r="D3298" s="3" t="s">
        <v>38</v>
      </c>
      <c r="E3298" s="3" t="s">
        <v>5151</v>
      </c>
      <c r="F3298" s="4">
        <v>43832</v>
      </c>
      <c r="G3298" s="3"/>
      <c r="H3298" s="3"/>
      <c r="I3298" s="3" t="s">
        <v>7043</v>
      </c>
      <c r="J3298" s="3"/>
      <c r="K3298" s="3"/>
      <c r="L3298" s="5"/>
    </row>
    <row r="3299" spans="1:12" ht="28.8" x14ac:dyDescent="0.55000000000000004">
      <c r="A3299" s="9" t="str">
        <f>HYPERLINK("PDF\FOIA-FWS-2020-00724-0003298.pdf","FOIA-FWS-2020-00724-0003298")</f>
        <v>FOIA-FWS-2020-00724-0003298</v>
      </c>
      <c r="B3299" s="3" t="s">
        <v>5152</v>
      </c>
      <c r="C3299" s="3" t="s">
        <v>3</v>
      </c>
      <c r="D3299" s="3" t="s">
        <v>38</v>
      </c>
      <c r="E3299" s="3" t="s">
        <v>5153</v>
      </c>
      <c r="F3299" s="4">
        <v>43832</v>
      </c>
      <c r="G3299" s="3"/>
      <c r="H3299" s="3"/>
      <c r="I3299" s="3" t="s">
        <v>7043</v>
      </c>
      <c r="J3299" s="3"/>
      <c r="K3299" s="3"/>
      <c r="L3299" s="5"/>
    </row>
    <row r="3300" spans="1:12" ht="28.8" x14ac:dyDescent="0.55000000000000004">
      <c r="A3300" s="9" t="str">
        <f>HYPERLINK("PDF\FOIA-FWS-2020-00724-0003299.pdf","FOIA-FWS-2020-00724-0003299")</f>
        <v>FOIA-FWS-2020-00724-0003299</v>
      </c>
      <c r="B3300" s="3" t="s">
        <v>5154</v>
      </c>
      <c r="C3300" s="3" t="s">
        <v>3</v>
      </c>
      <c r="D3300" s="3" t="s">
        <v>33</v>
      </c>
      <c r="E3300" s="3" t="s">
        <v>5155</v>
      </c>
      <c r="F3300" s="4">
        <v>43832.780555555553</v>
      </c>
      <c r="G3300" s="3" t="s">
        <v>945</v>
      </c>
      <c r="H3300" s="3" t="s">
        <v>963</v>
      </c>
      <c r="I3300" s="3" t="s">
        <v>7043</v>
      </c>
      <c r="J3300" s="3"/>
      <c r="K3300" s="3"/>
      <c r="L3300" s="5"/>
    </row>
    <row r="3301" spans="1:12" ht="28.8" x14ac:dyDescent="0.55000000000000004">
      <c r="A3301" s="9" t="str">
        <f>HYPERLINK("PDF\FOIA-FWS-2020-00724-0003300.pdf","FOIA-FWS-2020-00724-0003300")</f>
        <v>FOIA-FWS-2020-00724-0003300</v>
      </c>
      <c r="B3301" s="3" t="s">
        <v>5156</v>
      </c>
      <c r="C3301" s="3" t="s">
        <v>3</v>
      </c>
      <c r="D3301" s="3" t="s">
        <v>38</v>
      </c>
      <c r="E3301" s="3" t="s">
        <v>5157</v>
      </c>
      <c r="F3301" s="4">
        <v>43833</v>
      </c>
      <c r="G3301" s="3"/>
      <c r="H3301" s="3"/>
      <c r="I3301" s="3" t="s">
        <v>7043</v>
      </c>
      <c r="J3301" s="3"/>
      <c r="K3301" s="3"/>
      <c r="L3301" s="5"/>
    </row>
    <row r="3302" spans="1:12" ht="43.2" x14ac:dyDescent="0.55000000000000004">
      <c r="A3302" s="9" t="str">
        <f>HYPERLINK("PDF\FOIA-FWS-2020-00724-0003301.pdf","FOIA-FWS-2020-00724-0003301")</f>
        <v>FOIA-FWS-2020-00724-0003301</v>
      </c>
      <c r="B3302" s="3" t="s">
        <v>5158</v>
      </c>
      <c r="C3302" s="3" t="s">
        <v>3</v>
      </c>
      <c r="D3302" s="3" t="s">
        <v>38</v>
      </c>
      <c r="E3302" s="3" t="s">
        <v>5159</v>
      </c>
      <c r="F3302" s="4">
        <v>43833</v>
      </c>
      <c r="G3302" s="3"/>
      <c r="H3302" s="3"/>
      <c r="I3302" s="3" t="s">
        <v>7043</v>
      </c>
      <c r="J3302" s="3"/>
      <c r="K3302" s="3"/>
      <c r="L3302" s="5"/>
    </row>
    <row r="3303" spans="1:12" ht="43.2" x14ac:dyDescent="0.55000000000000004">
      <c r="A3303" s="9" t="str">
        <f>HYPERLINK("PDF\FOIA-FWS-2020-00724-0003302.pdf","FOIA-FWS-2020-00724-0003302")</f>
        <v>FOIA-FWS-2020-00724-0003302</v>
      </c>
      <c r="B3303" s="3" t="s">
        <v>5158</v>
      </c>
      <c r="C3303" s="3" t="s">
        <v>234</v>
      </c>
      <c r="D3303" s="3" t="s">
        <v>38</v>
      </c>
      <c r="E3303" s="3" t="s">
        <v>5160</v>
      </c>
      <c r="F3303" s="4">
        <v>43833</v>
      </c>
      <c r="G3303" s="3"/>
      <c r="H3303" s="3"/>
      <c r="I3303" s="3" t="s">
        <v>7043</v>
      </c>
      <c r="J3303" s="3"/>
      <c r="K3303" s="3"/>
      <c r="L3303" s="5"/>
    </row>
    <row r="3304" spans="1:12" ht="28.8" x14ac:dyDescent="0.55000000000000004">
      <c r="A3304" s="9" t="str">
        <f>HYPERLINK("PDF\FOIA-FWS-2020-00724-0003303.pdf","FOIA-FWS-2020-00724-0003303")</f>
        <v>FOIA-FWS-2020-00724-0003303</v>
      </c>
      <c r="B3304" s="3" t="s">
        <v>5161</v>
      </c>
      <c r="C3304" s="3" t="s">
        <v>3</v>
      </c>
      <c r="D3304" s="3" t="s">
        <v>38</v>
      </c>
      <c r="E3304" s="3" t="s">
        <v>5162</v>
      </c>
      <c r="F3304" s="4">
        <v>43833</v>
      </c>
      <c r="G3304" s="3"/>
      <c r="H3304" s="3"/>
      <c r="I3304" s="3" t="s">
        <v>7043</v>
      </c>
      <c r="J3304" s="3"/>
      <c r="K3304" s="3"/>
      <c r="L3304" s="5"/>
    </row>
    <row r="3305" spans="1:12" ht="28.8" x14ac:dyDescent="0.55000000000000004">
      <c r="A3305" s="9" t="str">
        <f>HYPERLINK("PDF\FOIA-FWS-2020-00724-0003304.pdf","FOIA-FWS-2020-00724-0003304")</f>
        <v>FOIA-FWS-2020-00724-0003304</v>
      </c>
      <c r="B3305" s="3" t="s">
        <v>5161</v>
      </c>
      <c r="C3305" s="3" t="s">
        <v>234</v>
      </c>
      <c r="D3305" s="3" t="s">
        <v>38</v>
      </c>
      <c r="E3305" s="3" t="s">
        <v>5163</v>
      </c>
      <c r="F3305" s="4">
        <v>43833</v>
      </c>
      <c r="G3305" s="3"/>
      <c r="H3305" s="3"/>
      <c r="I3305" s="3" t="s">
        <v>7043</v>
      </c>
      <c r="J3305" s="3"/>
      <c r="K3305" s="3"/>
      <c r="L3305" s="5"/>
    </row>
    <row r="3306" spans="1:12" ht="28.8" x14ac:dyDescent="0.55000000000000004">
      <c r="A3306" s="9" t="str">
        <f>HYPERLINK("PDF\FOIA-FWS-2020-00724-0003305.pdf","FOIA-FWS-2020-00724-0003305")</f>
        <v>FOIA-FWS-2020-00724-0003305</v>
      </c>
      <c r="B3306" s="3" t="s">
        <v>5161</v>
      </c>
      <c r="C3306" s="3" t="s">
        <v>234</v>
      </c>
      <c r="D3306" s="3" t="s">
        <v>38</v>
      </c>
      <c r="E3306" s="3" t="s">
        <v>5164</v>
      </c>
      <c r="F3306" s="4">
        <v>43833</v>
      </c>
      <c r="G3306" s="3"/>
      <c r="H3306" s="3"/>
      <c r="I3306" s="3" t="s">
        <v>7043</v>
      </c>
      <c r="J3306" s="3"/>
      <c r="K3306" s="3"/>
      <c r="L3306" s="5"/>
    </row>
    <row r="3307" spans="1:12" ht="28.8" x14ac:dyDescent="0.55000000000000004">
      <c r="A3307" s="9" t="str">
        <f>HYPERLINK("PDF\FOIA-FWS-2020-00724-0003306.pdf","FOIA-FWS-2020-00724-0003306")</f>
        <v>FOIA-FWS-2020-00724-0003306</v>
      </c>
      <c r="B3307" s="3" t="s">
        <v>5161</v>
      </c>
      <c r="C3307" s="3" t="s">
        <v>234</v>
      </c>
      <c r="D3307" s="3" t="s">
        <v>38</v>
      </c>
      <c r="E3307" s="3" t="s">
        <v>5165</v>
      </c>
      <c r="F3307" s="4">
        <v>43833</v>
      </c>
      <c r="G3307" s="3"/>
      <c r="H3307" s="3"/>
      <c r="I3307" s="3" t="s">
        <v>7043</v>
      </c>
      <c r="J3307" s="3"/>
      <c r="K3307" s="3"/>
      <c r="L3307" s="5"/>
    </row>
    <row r="3308" spans="1:12" ht="28.8" x14ac:dyDescent="0.55000000000000004">
      <c r="A3308" s="9" t="str">
        <f>HYPERLINK("PDF\FOIA-FWS-2020-00724-0003307.pdf","FOIA-FWS-2020-00724-0003307")</f>
        <v>FOIA-FWS-2020-00724-0003307</v>
      </c>
      <c r="B3308" s="3" t="s">
        <v>5161</v>
      </c>
      <c r="C3308" s="3" t="s">
        <v>234</v>
      </c>
      <c r="D3308" s="3" t="s">
        <v>38</v>
      </c>
      <c r="E3308" s="3" t="s">
        <v>5166</v>
      </c>
      <c r="F3308" s="4">
        <v>43833</v>
      </c>
      <c r="G3308" s="3"/>
      <c r="H3308" s="3"/>
      <c r="I3308" s="3" t="s">
        <v>7043</v>
      </c>
      <c r="J3308" s="3"/>
      <c r="K3308" s="3"/>
      <c r="L3308" s="5"/>
    </row>
    <row r="3309" spans="1:12" ht="28.8" x14ac:dyDescent="0.55000000000000004">
      <c r="A3309" s="9" t="str">
        <f>HYPERLINK("PDF\FOIA-FWS-2020-00724-0003308.pdf","FOIA-FWS-2020-00724-0003308")</f>
        <v>FOIA-FWS-2020-00724-0003308</v>
      </c>
      <c r="B3309" s="3" t="s">
        <v>5161</v>
      </c>
      <c r="C3309" s="3" t="s">
        <v>234</v>
      </c>
      <c r="D3309" s="3" t="s">
        <v>38</v>
      </c>
      <c r="E3309" s="3" t="s">
        <v>5167</v>
      </c>
      <c r="F3309" s="4">
        <v>43833</v>
      </c>
      <c r="G3309" s="3"/>
      <c r="H3309" s="3"/>
      <c r="I3309" s="3" t="s">
        <v>7043</v>
      </c>
      <c r="J3309" s="3"/>
      <c r="K3309" s="3"/>
      <c r="L3309" s="5"/>
    </row>
    <row r="3310" spans="1:12" ht="28.8" x14ac:dyDescent="0.55000000000000004">
      <c r="A3310" s="9" t="str">
        <f>HYPERLINK("PDF\FOIA-FWS-2020-00724-0003309.pdf","FOIA-FWS-2020-00724-0003309")</f>
        <v>FOIA-FWS-2020-00724-0003309</v>
      </c>
      <c r="B3310" s="3" t="s">
        <v>5161</v>
      </c>
      <c r="C3310" s="3" t="s">
        <v>234</v>
      </c>
      <c r="D3310" s="3" t="s">
        <v>38</v>
      </c>
      <c r="E3310" s="3" t="s">
        <v>5168</v>
      </c>
      <c r="F3310" s="4">
        <v>43833</v>
      </c>
      <c r="G3310" s="3"/>
      <c r="H3310" s="3"/>
      <c r="I3310" s="3" t="s">
        <v>7043</v>
      </c>
      <c r="J3310" s="3"/>
      <c r="K3310" s="3"/>
      <c r="L3310" s="5"/>
    </row>
    <row r="3311" spans="1:12" ht="28.8" x14ac:dyDescent="0.55000000000000004">
      <c r="A3311" s="9" t="str">
        <f>HYPERLINK("PDF\FOIA-FWS-2020-00724-0003310.pdf","FOIA-FWS-2020-00724-0003310")</f>
        <v>FOIA-FWS-2020-00724-0003310</v>
      </c>
      <c r="B3311" s="3" t="s">
        <v>5161</v>
      </c>
      <c r="C3311" s="3" t="s">
        <v>234</v>
      </c>
      <c r="D3311" s="3" t="s">
        <v>38</v>
      </c>
      <c r="E3311" s="3" t="s">
        <v>5169</v>
      </c>
      <c r="F3311" s="4">
        <v>43833</v>
      </c>
      <c r="G3311" s="3"/>
      <c r="H3311" s="3"/>
      <c r="I3311" s="3" t="s">
        <v>7043</v>
      </c>
      <c r="J3311" s="3"/>
      <c r="K3311" s="3"/>
      <c r="L3311" s="5"/>
    </row>
    <row r="3312" spans="1:12" ht="28.8" x14ac:dyDescent="0.55000000000000004">
      <c r="A3312" s="9" t="str">
        <f>HYPERLINK("PDF\FOIA-FWS-2020-00724-0003311.pdf","FOIA-FWS-2020-00724-0003311")</f>
        <v>FOIA-FWS-2020-00724-0003311</v>
      </c>
      <c r="B3312" s="3" t="s">
        <v>5161</v>
      </c>
      <c r="C3312" s="3" t="s">
        <v>234</v>
      </c>
      <c r="D3312" s="3" t="s">
        <v>38</v>
      </c>
      <c r="E3312" s="3" t="s">
        <v>5170</v>
      </c>
      <c r="F3312" s="4">
        <v>43833</v>
      </c>
      <c r="G3312" s="3"/>
      <c r="H3312" s="3"/>
      <c r="I3312" s="3" t="s">
        <v>7043</v>
      </c>
      <c r="J3312" s="3"/>
      <c r="K3312" s="3"/>
      <c r="L3312" s="5"/>
    </row>
    <row r="3313" spans="1:12" ht="28.8" x14ac:dyDescent="0.55000000000000004">
      <c r="A3313" s="9" t="str">
        <f>HYPERLINK("PDF\FOIA-FWS-2020-00724-0003312.pdf","FOIA-FWS-2020-00724-0003312")</f>
        <v>FOIA-FWS-2020-00724-0003312</v>
      </c>
      <c r="B3313" s="3" t="s">
        <v>5171</v>
      </c>
      <c r="C3313" s="3" t="s">
        <v>3</v>
      </c>
      <c r="D3313" s="3" t="s">
        <v>38</v>
      </c>
      <c r="E3313" s="3" t="s">
        <v>5172</v>
      </c>
      <c r="F3313" s="4">
        <v>43833</v>
      </c>
      <c r="G3313" s="3"/>
      <c r="H3313" s="3"/>
      <c r="I3313" s="3" t="s">
        <v>7043</v>
      </c>
      <c r="J3313" s="3"/>
      <c r="K3313" s="3"/>
      <c r="L3313" s="5"/>
    </row>
    <row r="3314" spans="1:12" ht="28.8" x14ac:dyDescent="0.55000000000000004">
      <c r="A3314" s="9" t="str">
        <f>HYPERLINK("PDF\FOIA-FWS-2020-00724-0003313.pdf","FOIA-FWS-2020-00724-0003313")</f>
        <v>FOIA-FWS-2020-00724-0003313</v>
      </c>
      <c r="B3314" s="3" t="s">
        <v>5173</v>
      </c>
      <c r="C3314" s="3" t="s">
        <v>3</v>
      </c>
      <c r="D3314" s="3" t="s">
        <v>160</v>
      </c>
      <c r="E3314" s="3" t="s">
        <v>5175</v>
      </c>
      <c r="F3314" s="4">
        <v>43833.520833333336</v>
      </c>
      <c r="G3314" s="3" t="s">
        <v>955</v>
      </c>
      <c r="H3314" s="3" t="s">
        <v>5174</v>
      </c>
      <c r="I3314" s="3" t="s">
        <v>7043</v>
      </c>
      <c r="J3314" s="3"/>
      <c r="K3314" s="3"/>
      <c r="L3314" s="5"/>
    </row>
    <row r="3315" spans="1:12" ht="28.8" x14ac:dyDescent="0.55000000000000004">
      <c r="A3315" s="9" t="str">
        <f>HYPERLINK("PDF\FOIA-FWS-2020-00724-0003314.pdf","FOIA-FWS-2020-00724-0003314")</f>
        <v>FOIA-FWS-2020-00724-0003314</v>
      </c>
      <c r="B3315" s="3" t="s">
        <v>5173</v>
      </c>
      <c r="C3315" s="3" t="s">
        <v>234</v>
      </c>
      <c r="D3315" s="3" t="s">
        <v>160</v>
      </c>
      <c r="E3315" s="3" t="s">
        <v>5176</v>
      </c>
      <c r="F3315" s="4">
        <v>43833.520833333336</v>
      </c>
      <c r="G3315" s="3"/>
      <c r="H3315" s="3"/>
      <c r="I3315" s="3" t="s">
        <v>7043</v>
      </c>
      <c r="J3315" s="3"/>
      <c r="K3315" s="3"/>
      <c r="L3315" s="5" t="str">
        <f>HYPERLINK("NATIVE_FILES\FOIA-FWS-2020-00724-0003314.xlsx","FOIA-FWS-2020-00724-0003314.xlsx")</f>
        <v>FOIA-FWS-2020-00724-0003314.xlsx</v>
      </c>
    </row>
    <row r="3316" spans="1:12" ht="28.8" x14ac:dyDescent="0.55000000000000004">
      <c r="A3316" s="9" t="str">
        <f>HYPERLINK("PDF\FOIA-FWS-2020-00724-0003315.pdf","FOIA-FWS-2020-00724-0003315")</f>
        <v>FOIA-FWS-2020-00724-0003315</v>
      </c>
      <c r="B3316" s="3" t="s">
        <v>5177</v>
      </c>
      <c r="C3316" s="3" t="s">
        <v>3</v>
      </c>
      <c r="D3316" s="3" t="s">
        <v>38</v>
      </c>
      <c r="E3316" s="3" t="s">
        <v>5178</v>
      </c>
      <c r="F3316" s="4">
        <v>43833.538888888892</v>
      </c>
      <c r="G3316" s="3" t="s">
        <v>955</v>
      </c>
      <c r="H3316" s="3" t="s">
        <v>963</v>
      </c>
      <c r="I3316" s="3" t="s">
        <v>7043</v>
      </c>
      <c r="J3316" s="3"/>
      <c r="K3316" s="3"/>
      <c r="L3316" s="5"/>
    </row>
    <row r="3317" spans="1:12" ht="57.6" x14ac:dyDescent="0.55000000000000004">
      <c r="A3317" s="9" t="str">
        <f>HYPERLINK("PDF\FOIA-FWS-2020-00724-0003316.pdf","FOIA-FWS-2020-00724-0003316")</f>
        <v>FOIA-FWS-2020-00724-0003316</v>
      </c>
      <c r="B3317" s="3" t="s">
        <v>5179</v>
      </c>
      <c r="C3317" s="3" t="s">
        <v>3</v>
      </c>
      <c r="D3317" s="3" t="s">
        <v>33</v>
      </c>
      <c r="E3317" s="3" t="s">
        <v>5181</v>
      </c>
      <c r="F3317" s="4">
        <v>43833.54583333333</v>
      </c>
      <c r="G3317" s="3" t="s">
        <v>1942</v>
      </c>
      <c r="H3317" s="3" t="s">
        <v>5180</v>
      </c>
      <c r="I3317" s="3" t="s">
        <v>864</v>
      </c>
      <c r="J3317" s="3" t="s">
        <v>7046</v>
      </c>
      <c r="K3317" s="3" t="s">
        <v>7036</v>
      </c>
      <c r="L3317" s="5"/>
    </row>
    <row r="3318" spans="1:12" ht="28.8" x14ac:dyDescent="0.55000000000000004">
      <c r="A3318" s="9" t="str">
        <f>HYPERLINK("PDF\FOIA-FWS-2020-00724-0003317.pdf","FOIA-FWS-2020-00724-0003317")</f>
        <v>FOIA-FWS-2020-00724-0003317</v>
      </c>
      <c r="B3318" s="3" t="s">
        <v>5182</v>
      </c>
      <c r="C3318" s="3" t="s">
        <v>3</v>
      </c>
      <c r="D3318" s="3" t="s">
        <v>33</v>
      </c>
      <c r="E3318" s="3" t="s">
        <v>5183</v>
      </c>
      <c r="F3318" s="4">
        <v>43833.664583333331</v>
      </c>
      <c r="G3318" s="3" t="s">
        <v>1489</v>
      </c>
      <c r="H3318" s="3" t="s">
        <v>1730</v>
      </c>
      <c r="I3318" s="3" t="s">
        <v>7043</v>
      </c>
      <c r="J3318" s="3"/>
      <c r="K3318" s="3"/>
      <c r="L3318" s="5"/>
    </row>
    <row r="3319" spans="1:12" ht="28.8" x14ac:dyDescent="0.55000000000000004">
      <c r="A3319" s="9" t="str">
        <f>HYPERLINK("PDF\FOIA-FWS-2020-00724-0003318.pdf","FOIA-FWS-2020-00724-0003318")</f>
        <v>FOIA-FWS-2020-00724-0003318</v>
      </c>
      <c r="B3319" s="3" t="s">
        <v>5182</v>
      </c>
      <c r="C3319" s="3" t="s">
        <v>234</v>
      </c>
      <c r="D3319" s="3" t="s">
        <v>160</v>
      </c>
      <c r="E3319" s="3" t="s">
        <v>5184</v>
      </c>
      <c r="F3319" s="4">
        <v>43833.664583333331</v>
      </c>
      <c r="G3319" s="3"/>
      <c r="H3319" s="3"/>
      <c r="I3319" s="3" t="s">
        <v>7043</v>
      </c>
      <c r="J3319" s="3"/>
      <c r="K3319" s="3"/>
      <c r="L3319" s="5"/>
    </row>
    <row r="3320" spans="1:12" ht="28.8" x14ac:dyDescent="0.55000000000000004">
      <c r="A3320" s="9" t="str">
        <f>HYPERLINK("PDF\FOIA-FWS-2020-00724-0003319.pdf","FOIA-FWS-2020-00724-0003319")</f>
        <v>FOIA-FWS-2020-00724-0003319</v>
      </c>
      <c r="B3320" s="3" t="s">
        <v>5182</v>
      </c>
      <c r="C3320" s="3" t="s">
        <v>234</v>
      </c>
      <c r="D3320" s="3" t="s">
        <v>160</v>
      </c>
      <c r="E3320" s="3" t="s">
        <v>5185</v>
      </c>
      <c r="F3320" s="4">
        <v>43833.664583333331</v>
      </c>
      <c r="G3320" s="3"/>
      <c r="H3320" s="3"/>
      <c r="I3320" s="3" t="s">
        <v>7043</v>
      </c>
      <c r="J3320" s="3"/>
      <c r="K3320" s="3"/>
      <c r="L3320" s="5" t="str">
        <f>HYPERLINK("NATIVE_FILES\FOIA-FWS-2020-00724-0003319.prj","FOIA-FWS-2020-00724-0003319.prj")</f>
        <v>FOIA-FWS-2020-00724-0003319.prj</v>
      </c>
    </row>
    <row r="3321" spans="1:12" ht="28.8" x14ac:dyDescent="0.55000000000000004">
      <c r="A3321" s="9" t="str">
        <f>HYPERLINK("PDF\FOIA-FWS-2020-00724-0003320.pdf","FOIA-FWS-2020-00724-0003320")</f>
        <v>FOIA-FWS-2020-00724-0003320</v>
      </c>
      <c r="B3321" s="3" t="s">
        <v>5186</v>
      </c>
      <c r="C3321" s="3" t="s">
        <v>3</v>
      </c>
      <c r="D3321" s="3" t="s">
        <v>38</v>
      </c>
      <c r="E3321" s="3" t="s">
        <v>5187</v>
      </c>
      <c r="F3321" s="4">
        <v>43834.679166666669</v>
      </c>
      <c r="G3321" s="3" t="s">
        <v>4506</v>
      </c>
      <c r="H3321" s="3" t="s">
        <v>861</v>
      </c>
      <c r="I3321" s="3" t="s">
        <v>7043</v>
      </c>
      <c r="J3321" s="3"/>
      <c r="K3321" s="3"/>
      <c r="L3321" s="5"/>
    </row>
    <row r="3322" spans="1:12" ht="28.8" x14ac:dyDescent="0.55000000000000004">
      <c r="A3322" s="9" t="str">
        <f>HYPERLINK("PDF\FOIA-FWS-2020-00724-0003321.pdf","FOIA-FWS-2020-00724-0003321")</f>
        <v>FOIA-FWS-2020-00724-0003321</v>
      </c>
      <c r="B3322" s="3" t="s">
        <v>5186</v>
      </c>
      <c r="C3322" s="3" t="s">
        <v>234</v>
      </c>
      <c r="D3322" s="3" t="s">
        <v>38</v>
      </c>
      <c r="E3322" s="3" t="s">
        <v>5188</v>
      </c>
      <c r="F3322" s="4">
        <v>43834.679166666669</v>
      </c>
      <c r="G3322" s="3"/>
      <c r="H3322" s="3"/>
      <c r="I3322" s="3" t="s">
        <v>7043</v>
      </c>
      <c r="J3322" s="3"/>
      <c r="K3322" s="3"/>
      <c r="L3322" s="5"/>
    </row>
    <row r="3323" spans="1:12" ht="28.8" x14ac:dyDescent="0.55000000000000004">
      <c r="A3323" s="9" t="str">
        <f>HYPERLINK("PDF\FOIA-FWS-2020-00724-0003322.pdf","FOIA-FWS-2020-00724-0003322")</f>
        <v>FOIA-FWS-2020-00724-0003322</v>
      </c>
      <c r="B3323" s="3" t="s">
        <v>5186</v>
      </c>
      <c r="C3323" s="3" t="s">
        <v>234</v>
      </c>
      <c r="D3323" s="3" t="s">
        <v>38</v>
      </c>
      <c r="E3323" s="3" t="s">
        <v>5189</v>
      </c>
      <c r="F3323" s="4">
        <v>43834.679166666669</v>
      </c>
      <c r="G3323" s="3"/>
      <c r="H3323" s="3"/>
      <c r="I3323" s="3" t="s">
        <v>7043</v>
      </c>
      <c r="J3323" s="3"/>
      <c r="K3323" s="3"/>
      <c r="L3323" s="5"/>
    </row>
    <row r="3324" spans="1:12" ht="28.8" x14ac:dyDescent="0.55000000000000004">
      <c r="A3324" s="9" t="str">
        <f>HYPERLINK("PDF\FOIA-FWS-2020-00724-0003323.pdf","FOIA-FWS-2020-00724-0003323")</f>
        <v>FOIA-FWS-2020-00724-0003323</v>
      </c>
      <c r="B3324" s="3" t="s">
        <v>5190</v>
      </c>
      <c r="C3324" s="3" t="s">
        <v>3</v>
      </c>
      <c r="D3324" s="3" t="s">
        <v>38</v>
      </c>
      <c r="E3324" s="3" t="s">
        <v>5191</v>
      </c>
      <c r="F3324" s="4">
        <v>43836</v>
      </c>
      <c r="G3324" s="3"/>
      <c r="H3324" s="3"/>
      <c r="I3324" s="3" t="s">
        <v>7043</v>
      </c>
      <c r="J3324" s="3"/>
      <c r="K3324" s="3"/>
      <c r="L3324" s="5"/>
    </row>
    <row r="3325" spans="1:12" ht="28.8" x14ac:dyDescent="0.55000000000000004">
      <c r="A3325" s="9" t="str">
        <f>HYPERLINK("PDF\FOIA-FWS-2020-00724-0003324.pdf","FOIA-FWS-2020-00724-0003324")</f>
        <v>FOIA-FWS-2020-00724-0003324</v>
      </c>
      <c r="B3325" s="3" t="s">
        <v>5190</v>
      </c>
      <c r="C3325" s="3" t="s">
        <v>234</v>
      </c>
      <c r="D3325" s="3" t="s">
        <v>38</v>
      </c>
      <c r="E3325" s="3" t="s">
        <v>5192</v>
      </c>
      <c r="F3325" s="4">
        <v>43836</v>
      </c>
      <c r="G3325" s="3"/>
      <c r="H3325" s="3"/>
      <c r="I3325" s="3" t="s">
        <v>7043</v>
      </c>
      <c r="J3325" s="3"/>
      <c r="K3325" s="3"/>
      <c r="L3325" s="5"/>
    </row>
    <row r="3326" spans="1:12" ht="28.8" x14ac:dyDescent="0.55000000000000004">
      <c r="A3326" s="9" t="str">
        <f>HYPERLINK("PDF\FOIA-FWS-2020-00724-0003325.pdf","FOIA-FWS-2020-00724-0003325")</f>
        <v>FOIA-FWS-2020-00724-0003325</v>
      </c>
      <c r="B3326" s="3" t="s">
        <v>5193</v>
      </c>
      <c r="C3326" s="3" t="s">
        <v>3</v>
      </c>
      <c r="D3326" s="3" t="s">
        <v>38</v>
      </c>
      <c r="E3326" s="3" t="s">
        <v>5194</v>
      </c>
      <c r="F3326" s="4">
        <v>43836</v>
      </c>
      <c r="G3326" s="3"/>
      <c r="H3326" s="3"/>
      <c r="I3326" s="3" t="s">
        <v>7043</v>
      </c>
      <c r="J3326" s="3"/>
      <c r="K3326" s="3"/>
      <c r="L3326" s="5"/>
    </row>
    <row r="3327" spans="1:12" ht="28.8" x14ac:dyDescent="0.55000000000000004">
      <c r="A3327" s="9" t="str">
        <f>HYPERLINK("PDF\FOIA-FWS-2020-00724-0003326.pdf","FOIA-FWS-2020-00724-0003326")</f>
        <v>FOIA-FWS-2020-00724-0003326</v>
      </c>
      <c r="B3327" s="3" t="s">
        <v>5195</v>
      </c>
      <c r="C3327" s="3" t="s">
        <v>3</v>
      </c>
      <c r="D3327" s="3" t="s">
        <v>38</v>
      </c>
      <c r="E3327" s="3" t="s">
        <v>5196</v>
      </c>
      <c r="F3327" s="4">
        <v>43836</v>
      </c>
      <c r="G3327" s="3"/>
      <c r="H3327" s="3"/>
      <c r="I3327" s="3" t="s">
        <v>7043</v>
      </c>
      <c r="J3327" s="3"/>
      <c r="K3327" s="3"/>
      <c r="L3327" s="5"/>
    </row>
    <row r="3328" spans="1:12" ht="28.8" x14ac:dyDescent="0.55000000000000004">
      <c r="A3328" s="9" t="str">
        <f>HYPERLINK("PDF\FOIA-FWS-2020-00724-0003327.pdf","FOIA-FWS-2020-00724-0003327")</f>
        <v>FOIA-FWS-2020-00724-0003327</v>
      </c>
      <c r="B3328" s="3" t="s">
        <v>5197</v>
      </c>
      <c r="C3328" s="3" t="s">
        <v>3</v>
      </c>
      <c r="D3328" s="3" t="s">
        <v>38</v>
      </c>
      <c r="E3328" s="3" t="s">
        <v>5198</v>
      </c>
      <c r="F3328" s="4">
        <v>43836</v>
      </c>
      <c r="G3328" s="3"/>
      <c r="H3328" s="3"/>
      <c r="I3328" s="3" t="s">
        <v>7043</v>
      </c>
      <c r="J3328" s="3"/>
      <c r="K3328" s="3"/>
      <c r="L3328" s="5"/>
    </row>
    <row r="3329" spans="1:12" ht="28.8" x14ac:dyDescent="0.55000000000000004">
      <c r="A3329" s="9" t="str">
        <f>HYPERLINK("PDF\FOIA-FWS-2020-00724-0003328.pdf","FOIA-FWS-2020-00724-0003328")</f>
        <v>FOIA-FWS-2020-00724-0003328</v>
      </c>
      <c r="B3329" s="3" t="s">
        <v>5199</v>
      </c>
      <c r="C3329" s="3" t="s">
        <v>3</v>
      </c>
      <c r="D3329" s="3" t="s">
        <v>38</v>
      </c>
      <c r="E3329" s="3" t="s">
        <v>5200</v>
      </c>
      <c r="F3329" s="4">
        <v>43836</v>
      </c>
      <c r="G3329" s="3"/>
      <c r="H3329" s="3"/>
      <c r="I3329" s="3" t="s">
        <v>7043</v>
      </c>
      <c r="J3329" s="3"/>
      <c r="K3329" s="3"/>
      <c r="L3329" s="5"/>
    </row>
    <row r="3330" spans="1:12" ht="57.6" x14ac:dyDescent="0.55000000000000004">
      <c r="A3330" s="9" t="str">
        <f>HYPERLINK("PDF\FOIA-FWS-2020-00724-0003329.pdf","FOIA-FWS-2020-00724-0003329")</f>
        <v>FOIA-FWS-2020-00724-0003329</v>
      </c>
      <c r="B3330" s="3" t="s">
        <v>5201</v>
      </c>
      <c r="C3330" s="3" t="s">
        <v>3</v>
      </c>
      <c r="D3330" s="3" t="s">
        <v>33</v>
      </c>
      <c r="E3330" s="3" t="s">
        <v>5203</v>
      </c>
      <c r="F3330" s="4">
        <v>43836.466666666667</v>
      </c>
      <c r="G3330" s="3" t="s">
        <v>945</v>
      </c>
      <c r="H3330" s="3" t="s">
        <v>5202</v>
      </c>
      <c r="I3330" s="3" t="s">
        <v>864</v>
      </c>
      <c r="J3330" s="3" t="s">
        <v>7046</v>
      </c>
      <c r="K3330" s="3" t="s">
        <v>7036</v>
      </c>
      <c r="L3330" s="5"/>
    </row>
    <row r="3331" spans="1:12" ht="86.4" x14ac:dyDescent="0.55000000000000004">
      <c r="A3331" s="9" t="str">
        <f>HYPERLINK("PDF\FOIA-FWS-2020-00724-0003330.pdf","FOIA-FWS-2020-00724-0003330")</f>
        <v>FOIA-FWS-2020-00724-0003330</v>
      </c>
      <c r="B3331" s="3" t="s">
        <v>5201</v>
      </c>
      <c r="C3331" s="3" t="s">
        <v>234</v>
      </c>
      <c r="D3331" s="3" t="s">
        <v>33</v>
      </c>
      <c r="E3331" s="3" t="s">
        <v>867</v>
      </c>
      <c r="F3331" s="4">
        <v>43836.466666666667</v>
      </c>
      <c r="G3331" s="3" t="s">
        <v>1337</v>
      </c>
      <c r="H3331" s="3" t="s">
        <v>5204</v>
      </c>
      <c r="I3331" s="3" t="s">
        <v>864</v>
      </c>
      <c r="J3331" s="3" t="s">
        <v>7046</v>
      </c>
      <c r="K3331" s="3" t="s">
        <v>7036</v>
      </c>
      <c r="L3331" s="5"/>
    </row>
    <row r="3332" spans="1:12" ht="43.2" x14ac:dyDescent="0.55000000000000004">
      <c r="A3332" s="9" t="str">
        <f>HYPERLINK("PDF\FOIA-FWS-2020-00724-0003331.pdf","FOIA-FWS-2020-00724-0003331")</f>
        <v>FOIA-FWS-2020-00724-0003331</v>
      </c>
      <c r="B3332" s="3" t="s">
        <v>5205</v>
      </c>
      <c r="C3332" s="3" t="s">
        <v>3</v>
      </c>
      <c r="D3332" s="3" t="s">
        <v>33</v>
      </c>
      <c r="E3332" s="3" t="s">
        <v>5207</v>
      </c>
      <c r="F3332" s="4">
        <v>43836.847222222219</v>
      </c>
      <c r="G3332" s="3" t="s">
        <v>1249</v>
      </c>
      <c r="H3332" s="3" t="s">
        <v>5206</v>
      </c>
      <c r="I3332" s="3" t="s">
        <v>7043</v>
      </c>
      <c r="J3332" s="3"/>
      <c r="K3332" s="3"/>
      <c r="L3332" s="5"/>
    </row>
    <row r="3333" spans="1:12" ht="43.2" x14ac:dyDescent="0.55000000000000004">
      <c r="A3333" s="9" t="str">
        <f>HYPERLINK("PDF\FOIA-FWS-2020-00724-0003332.pdf","FOIA-FWS-2020-00724-0003332")</f>
        <v>FOIA-FWS-2020-00724-0003332</v>
      </c>
      <c r="B3333" s="3" t="s">
        <v>5205</v>
      </c>
      <c r="C3333" s="3" t="s">
        <v>234</v>
      </c>
      <c r="D3333" s="3" t="s">
        <v>33</v>
      </c>
      <c r="E3333" s="3" t="s">
        <v>867</v>
      </c>
      <c r="F3333" s="4">
        <v>43836.847222222219</v>
      </c>
      <c r="G3333" s="3" t="s">
        <v>5208</v>
      </c>
      <c r="H3333" s="3" t="s">
        <v>5209</v>
      </c>
      <c r="I3333" s="3" t="s">
        <v>7043</v>
      </c>
      <c r="J3333" s="3"/>
      <c r="K3333" s="3"/>
      <c r="L3333" s="5"/>
    </row>
    <row r="3334" spans="1:12" ht="28.8" x14ac:dyDescent="0.55000000000000004">
      <c r="A3334" s="9" t="str">
        <f>HYPERLINK("PDF\FOIA-FWS-2020-00724-0003333.pdf","FOIA-FWS-2020-00724-0003333")</f>
        <v>FOIA-FWS-2020-00724-0003333</v>
      </c>
      <c r="B3334" s="3" t="s">
        <v>5210</v>
      </c>
      <c r="C3334" s="3" t="s">
        <v>3</v>
      </c>
      <c r="D3334" s="3" t="s">
        <v>33</v>
      </c>
      <c r="E3334" s="3" t="s">
        <v>5211</v>
      </c>
      <c r="F3334" s="4">
        <v>43837.568055555559</v>
      </c>
      <c r="G3334" s="3" t="s">
        <v>963</v>
      </c>
      <c r="H3334" s="3" t="s">
        <v>1332</v>
      </c>
      <c r="I3334" s="3" t="s">
        <v>7048</v>
      </c>
      <c r="J3334" s="3" t="s">
        <v>7050</v>
      </c>
      <c r="K3334" s="3" t="s">
        <v>7036</v>
      </c>
      <c r="L3334" s="5"/>
    </row>
    <row r="3335" spans="1:12" ht="28.8" x14ac:dyDescent="0.55000000000000004">
      <c r="A3335" s="9" t="str">
        <f>HYPERLINK("PDF\FOIA-FWS-2020-00724-0003334.pdf","FOIA-FWS-2020-00724-0003334")</f>
        <v>FOIA-FWS-2020-00724-0003334</v>
      </c>
      <c r="B3335" s="3" t="s">
        <v>5210</v>
      </c>
      <c r="C3335" s="3" t="s">
        <v>234</v>
      </c>
      <c r="D3335" s="3" t="s">
        <v>33</v>
      </c>
      <c r="E3335" s="3" t="s">
        <v>5212</v>
      </c>
      <c r="F3335" s="4">
        <v>43837.568055555559</v>
      </c>
      <c r="G3335" s="3"/>
      <c r="H3335" s="3"/>
      <c r="I3335" s="3" t="s">
        <v>7043</v>
      </c>
      <c r="J3335" s="3"/>
      <c r="K3335" s="3"/>
      <c r="L3335" s="5"/>
    </row>
    <row r="3336" spans="1:12" ht="28.8" x14ac:dyDescent="0.55000000000000004">
      <c r="A3336" s="9" t="str">
        <f>HYPERLINK("PDF\FOIA-FWS-2020-00724-0003335.pdf","FOIA-FWS-2020-00724-0003335")</f>
        <v>FOIA-FWS-2020-00724-0003335</v>
      </c>
      <c r="B3336" s="3" t="s">
        <v>5210</v>
      </c>
      <c r="C3336" s="3" t="s">
        <v>234</v>
      </c>
      <c r="D3336" s="3" t="s">
        <v>33</v>
      </c>
      <c r="E3336" s="3" t="s">
        <v>5213</v>
      </c>
      <c r="F3336" s="4">
        <v>43837.568055555559</v>
      </c>
      <c r="G3336" s="3"/>
      <c r="H3336" s="3"/>
      <c r="I3336" s="3" t="s">
        <v>7043</v>
      </c>
      <c r="J3336" s="3"/>
      <c r="K3336" s="3"/>
      <c r="L3336" s="5"/>
    </row>
    <row r="3337" spans="1:12" ht="28.8" x14ac:dyDescent="0.55000000000000004">
      <c r="A3337" s="9" t="str">
        <f>HYPERLINK("PDF\FOIA-FWS-2020-00724-0003336.pdf","FOIA-FWS-2020-00724-0003336")</f>
        <v>FOIA-FWS-2020-00724-0003336</v>
      </c>
      <c r="B3337" s="3" t="s">
        <v>5210</v>
      </c>
      <c r="C3337" s="3" t="s">
        <v>234</v>
      </c>
      <c r="D3337" s="3" t="s">
        <v>33</v>
      </c>
      <c r="E3337" s="3" t="s">
        <v>5214</v>
      </c>
      <c r="F3337" s="4">
        <v>43837.568055555559</v>
      </c>
      <c r="G3337" s="3"/>
      <c r="H3337" s="3"/>
      <c r="I3337" s="3" t="s">
        <v>7043</v>
      </c>
      <c r="J3337" s="3"/>
      <c r="K3337" s="3"/>
      <c r="L3337" s="5"/>
    </row>
    <row r="3338" spans="1:12" ht="28.8" x14ac:dyDescent="0.55000000000000004">
      <c r="A3338" s="9" t="str">
        <f>HYPERLINK("PDF\FOIA-FWS-2020-00724-0003337.pdf","FOIA-FWS-2020-00724-0003337")</f>
        <v>FOIA-FWS-2020-00724-0003337</v>
      </c>
      <c r="B3338" s="3" t="s">
        <v>5215</v>
      </c>
      <c r="C3338" s="3" t="s">
        <v>3</v>
      </c>
      <c r="D3338" s="3" t="s">
        <v>33</v>
      </c>
      <c r="E3338" s="3" t="s">
        <v>5216</v>
      </c>
      <c r="F3338" s="4">
        <v>43837.629166666666</v>
      </c>
      <c r="G3338" s="3" t="s">
        <v>1332</v>
      </c>
      <c r="H3338" s="3" t="s">
        <v>955</v>
      </c>
      <c r="I3338" s="3" t="s">
        <v>7043</v>
      </c>
      <c r="J3338" s="3"/>
      <c r="K3338" s="3"/>
      <c r="L3338" s="5"/>
    </row>
    <row r="3339" spans="1:12" ht="28.8" x14ac:dyDescent="0.55000000000000004">
      <c r="A3339" s="9" t="str">
        <f>HYPERLINK("PDF\FOIA-FWS-2020-00724-0003338.pdf","FOIA-FWS-2020-00724-0003338")</f>
        <v>FOIA-FWS-2020-00724-0003338</v>
      </c>
      <c r="B3339" s="3" t="s">
        <v>5217</v>
      </c>
      <c r="C3339" s="3" t="s">
        <v>3</v>
      </c>
      <c r="D3339" s="3" t="s">
        <v>33</v>
      </c>
      <c r="E3339" s="3" t="s">
        <v>5218</v>
      </c>
      <c r="F3339" s="4">
        <v>43837.663888888892</v>
      </c>
      <c r="G3339" s="3" t="s">
        <v>1250</v>
      </c>
      <c r="H3339" s="3" t="s">
        <v>946</v>
      </c>
      <c r="I3339" s="3" t="s">
        <v>7043</v>
      </c>
      <c r="J3339" s="3"/>
      <c r="K3339" s="3"/>
      <c r="L3339" s="5"/>
    </row>
    <row r="3340" spans="1:12" ht="28.8" x14ac:dyDescent="0.55000000000000004">
      <c r="A3340" s="9" t="str">
        <f>HYPERLINK("PDF\FOIA-FWS-2020-00724-0003339.pdf","FOIA-FWS-2020-00724-0003339")</f>
        <v>FOIA-FWS-2020-00724-0003339</v>
      </c>
      <c r="B3340" s="3" t="s">
        <v>5217</v>
      </c>
      <c r="C3340" s="3" t="s">
        <v>234</v>
      </c>
      <c r="D3340" s="3" t="s">
        <v>33</v>
      </c>
      <c r="E3340" s="3" t="s">
        <v>4739</v>
      </c>
      <c r="F3340" s="4">
        <v>43837.663888888892</v>
      </c>
      <c r="G3340" s="3"/>
      <c r="H3340" s="3"/>
      <c r="I3340" s="3" t="s">
        <v>7043</v>
      </c>
      <c r="J3340" s="3"/>
      <c r="K3340" s="3"/>
      <c r="L3340" s="5"/>
    </row>
    <row r="3341" spans="1:12" ht="28.8" x14ac:dyDescent="0.55000000000000004">
      <c r="A3341" s="9" t="str">
        <f>HYPERLINK("PDF\FOIA-FWS-2020-00724-0003340.pdf","FOIA-FWS-2020-00724-0003340")</f>
        <v>FOIA-FWS-2020-00724-0003340</v>
      </c>
      <c r="B3341" s="3" t="s">
        <v>5217</v>
      </c>
      <c r="C3341" s="3" t="s">
        <v>234</v>
      </c>
      <c r="D3341" s="3" t="s">
        <v>33</v>
      </c>
      <c r="E3341" s="3" t="s">
        <v>5219</v>
      </c>
      <c r="F3341" s="4">
        <v>43837.663888888892</v>
      </c>
      <c r="G3341" s="3"/>
      <c r="H3341" s="3"/>
      <c r="I3341" s="3" t="s">
        <v>7043</v>
      </c>
      <c r="J3341" s="3"/>
      <c r="K3341" s="3"/>
      <c r="L3341" s="5"/>
    </row>
    <row r="3342" spans="1:12" ht="28.8" x14ac:dyDescent="0.55000000000000004">
      <c r="A3342" s="9" t="str">
        <f>HYPERLINK("PDF\FOIA-FWS-2020-00724-0003341.pdf","FOIA-FWS-2020-00724-0003341")</f>
        <v>FOIA-FWS-2020-00724-0003341</v>
      </c>
      <c r="B3342" s="3" t="s">
        <v>5217</v>
      </c>
      <c r="C3342" s="3" t="s">
        <v>234</v>
      </c>
      <c r="D3342" s="3" t="s">
        <v>33</v>
      </c>
      <c r="E3342" s="3" t="s">
        <v>5220</v>
      </c>
      <c r="F3342" s="4">
        <v>43837.663888888892</v>
      </c>
      <c r="G3342" s="3"/>
      <c r="H3342" s="3"/>
      <c r="I3342" s="3" t="s">
        <v>7043</v>
      </c>
      <c r="J3342" s="3"/>
      <c r="K3342" s="3"/>
      <c r="L3342" s="5"/>
    </row>
    <row r="3343" spans="1:12" ht="28.8" x14ac:dyDescent="0.55000000000000004">
      <c r="A3343" s="9" t="str">
        <f>HYPERLINK("PDF\FOIA-FWS-2020-00724-0003342.pdf","FOIA-FWS-2020-00724-0003342")</f>
        <v>FOIA-FWS-2020-00724-0003342</v>
      </c>
      <c r="B3343" s="3" t="s">
        <v>5221</v>
      </c>
      <c r="C3343" s="3" t="s">
        <v>3</v>
      </c>
      <c r="D3343" s="3" t="s">
        <v>33</v>
      </c>
      <c r="E3343" s="3" t="s">
        <v>5222</v>
      </c>
      <c r="F3343" s="4">
        <v>43837.738888888889</v>
      </c>
      <c r="G3343" s="3" t="s">
        <v>945</v>
      </c>
      <c r="H3343" s="3" t="s">
        <v>963</v>
      </c>
      <c r="I3343" s="3" t="s">
        <v>7043</v>
      </c>
      <c r="J3343" s="3"/>
      <c r="K3343" s="3"/>
      <c r="L3343" s="5"/>
    </row>
    <row r="3344" spans="1:12" ht="57.6" x14ac:dyDescent="0.55000000000000004">
      <c r="A3344" s="9" t="str">
        <f>HYPERLINK("PDF\FOIA-FWS-2020-00724-0003343.pdf","FOIA-FWS-2020-00724-0003343")</f>
        <v>FOIA-FWS-2020-00724-0003343</v>
      </c>
      <c r="B3344" s="3" t="s">
        <v>5223</v>
      </c>
      <c r="C3344" s="3" t="s">
        <v>3</v>
      </c>
      <c r="D3344" s="3" t="s">
        <v>33</v>
      </c>
      <c r="E3344" s="3" t="s">
        <v>5225</v>
      </c>
      <c r="F3344" s="4">
        <v>43837.742361111108</v>
      </c>
      <c r="G3344" s="3" t="s">
        <v>872</v>
      </c>
      <c r="H3344" s="3" t="s">
        <v>5224</v>
      </c>
      <c r="I3344" s="3" t="s">
        <v>7043</v>
      </c>
      <c r="J3344" s="3"/>
      <c r="K3344" s="3"/>
      <c r="L3344" s="5"/>
    </row>
    <row r="3345" spans="1:12" ht="57.6" x14ac:dyDescent="0.55000000000000004">
      <c r="A3345" s="9" t="str">
        <f>HYPERLINK("PDF\FOIA-FWS-2020-00724-0003344.pdf","FOIA-FWS-2020-00724-0003344")</f>
        <v>FOIA-FWS-2020-00724-0003344</v>
      </c>
      <c r="B3345" s="3" t="s">
        <v>5226</v>
      </c>
      <c r="C3345" s="3" t="s">
        <v>3</v>
      </c>
      <c r="D3345" s="3" t="s">
        <v>33</v>
      </c>
      <c r="E3345" s="3" t="s">
        <v>5227</v>
      </c>
      <c r="F3345" s="4">
        <v>43837.749305555553</v>
      </c>
      <c r="G3345" s="3" t="s">
        <v>945</v>
      </c>
      <c r="H3345" s="3" t="s">
        <v>872</v>
      </c>
      <c r="I3345" s="3" t="s">
        <v>7043</v>
      </c>
      <c r="J3345" s="3"/>
      <c r="K3345" s="3"/>
      <c r="L3345" s="5"/>
    </row>
    <row r="3346" spans="1:12" ht="28.8" x14ac:dyDescent="0.55000000000000004">
      <c r="A3346" s="9" t="str">
        <f>HYPERLINK("PDF\FOIA-FWS-2020-00724-0003345.pdf","FOIA-FWS-2020-00724-0003345")</f>
        <v>FOIA-FWS-2020-00724-0003345</v>
      </c>
      <c r="B3346" s="3" t="s">
        <v>5228</v>
      </c>
      <c r="C3346" s="3" t="s">
        <v>3</v>
      </c>
      <c r="D3346" s="3" t="s">
        <v>33</v>
      </c>
      <c r="E3346" s="3" t="s">
        <v>5229</v>
      </c>
      <c r="F3346" s="4">
        <v>43837.754166666666</v>
      </c>
      <c r="G3346" s="3" t="s">
        <v>872</v>
      </c>
      <c r="H3346" s="3" t="s">
        <v>955</v>
      </c>
      <c r="I3346" s="3" t="s">
        <v>7043</v>
      </c>
      <c r="J3346" s="3"/>
      <c r="K3346" s="3"/>
      <c r="L3346" s="5"/>
    </row>
    <row r="3347" spans="1:12" ht="28.8" x14ac:dyDescent="0.55000000000000004">
      <c r="A3347" s="9" t="str">
        <f>HYPERLINK("PDF\FOIA-FWS-2020-00724-0003346.pdf","FOIA-FWS-2020-00724-0003346")</f>
        <v>FOIA-FWS-2020-00724-0003346</v>
      </c>
      <c r="B3347" s="3" t="s">
        <v>5230</v>
      </c>
      <c r="C3347" s="3" t="s">
        <v>3</v>
      </c>
      <c r="D3347" s="3" t="s">
        <v>33</v>
      </c>
      <c r="E3347" s="3" t="s">
        <v>5231</v>
      </c>
      <c r="F3347" s="4">
        <v>43837.76666666667</v>
      </c>
      <c r="G3347" s="3" t="s">
        <v>1392</v>
      </c>
      <c r="H3347" s="3" t="s">
        <v>955</v>
      </c>
      <c r="I3347" s="3" t="s">
        <v>7043</v>
      </c>
      <c r="J3347" s="3"/>
      <c r="K3347" s="3"/>
      <c r="L3347" s="5"/>
    </row>
    <row r="3348" spans="1:12" ht="28.8" x14ac:dyDescent="0.55000000000000004">
      <c r="A3348" s="9" t="str">
        <f>HYPERLINK("PDF\FOIA-FWS-2020-00724-0003347.pdf","FOIA-FWS-2020-00724-0003347")</f>
        <v>FOIA-FWS-2020-00724-0003347</v>
      </c>
      <c r="B3348" s="3" t="s">
        <v>5232</v>
      </c>
      <c r="C3348" s="3" t="s">
        <v>3</v>
      </c>
      <c r="D3348" s="3" t="s">
        <v>33</v>
      </c>
      <c r="E3348" s="3" t="s">
        <v>5231</v>
      </c>
      <c r="F3348" s="4">
        <v>43837.772916666669</v>
      </c>
      <c r="G3348" s="3" t="s">
        <v>955</v>
      </c>
      <c r="H3348" s="3" t="s">
        <v>1392</v>
      </c>
      <c r="I3348" s="3" t="s">
        <v>7043</v>
      </c>
      <c r="J3348" s="3"/>
      <c r="K3348" s="3"/>
      <c r="L3348" s="5"/>
    </row>
    <row r="3349" spans="1:12" ht="28.8" x14ac:dyDescent="0.55000000000000004">
      <c r="A3349" s="9" t="str">
        <f>HYPERLINK("PDF\FOIA-FWS-2020-00724-0003348.pdf","FOIA-FWS-2020-00724-0003348")</f>
        <v>FOIA-FWS-2020-00724-0003348</v>
      </c>
      <c r="B3349" s="3" t="s">
        <v>5233</v>
      </c>
      <c r="C3349" s="3" t="s">
        <v>3</v>
      </c>
      <c r="D3349" s="3" t="s">
        <v>38</v>
      </c>
      <c r="E3349" s="3" t="s">
        <v>5234</v>
      </c>
      <c r="F3349" s="4">
        <v>43838</v>
      </c>
      <c r="G3349" s="3"/>
      <c r="H3349" s="3"/>
      <c r="I3349" s="3" t="s">
        <v>7043</v>
      </c>
      <c r="J3349" s="3"/>
      <c r="K3349" s="3"/>
      <c r="L3349" s="5"/>
    </row>
    <row r="3350" spans="1:12" ht="28.8" x14ac:dyDescent="0.55000000000000004">
      <c r="A3350" s="9" t="str">
        <f>HYPERLINK("PDF\FOIA-FWS-2020-00724-0003349.pdf","FOIA-FWS-2020-00724-0003349")</f>
        <v>FOIA-FWS-2020-00724-0003349</v>
      </c>
      <c r="B3350" s="3" t="s">
        <v>5235</v>
      </c>
      <c r="C3350" s="3" t="s">
        <v>3</v>
      </c>
      <c r="D3350" s="3" t="s">
        <v>38</v>
      </c>
      <c r="E3350" s="3" t="s">
        <v>5236</v>
      </c>
      <c r="F3350" s="4">
        <v>43838</v>
      </c>
      <c r="G3350" s="3"/>
      <c r="H3350" s="3"/>
      <c r="I3350" s="3" t="s">
        <v>7043</v>
      </c>
      <c r="J3350" s="3"/>
      <c r="K3350" s="3"/>
      <c r="L3350" s="5"/>
    </row>
    <row r="3351" spans="1:12" ht="28.8" x14ac:dyDescent="0.55000000000000004">
      <c r="A3351" s="9" t="str">
        <f>HYPERLINK("PDF\FOIA-FWS-2020-00724-0003350.pdf","FOIA-FWS-2020-00724-0003350")</f>
        <v>FOIA-FWS-2020-00724-0003350</v>
      </c>
      <c r="B3351" s="3" t="s">
        <v>5237</v>
      </c>
      <c r="C3351" s="3" t="s">
        <v>3</v>
      </c>
      <c r="D3351" s="3" t="s">
        <v>33</v>
      </c>
      <c r="E3351" s="3" t="s">
        <v>5238</v>
      </c>
      <c r="F3351" s="4">
        <v>43838.533333333333</v>
      </c>
      <c r="G3351" s="3" t="s">
        <v>955</v>
      </c>
      <c r="H3351" s="3" t="s">
        <v>872</v>
      </c>
      <c r="I3351" s="3" t="s">
        <v>7043</v>
      </c>
      <c r="J3351" s="3"/>
      <c r="K3351" s="3"/>
      <c r="L3351" s="5"/>
    </row>
    <row r="3352" spans="1:12" ht="28.8" x14ac:dyDescent="0.55000000000000004">
      <c r="A3352" s="9" t="str">
        <f>HYPERLINK("PDF\FOIA-FWS-2020-00724-0003351.pdf","FOIA-FWS-2020-00724-0003351")</f>
        <v>FOIA-FWS-2020-00724-0003351</v>
      </c>
      <c r="B3352" s="3" t="s">
        <v>5239</v>
      </c>
      <c r="C3352" s="3" t="s">
        <v>3</v>
      </c>
      <c r="D3352" s="3" t="s">
        <v>33</v>
      </c>
      <c r="E3352" s="3" t="s">
        <v>5090</v>
      </c>
      <c r="F3352" s="4">
        <v>43838.534722222219</v>
      </c>
      <c r="G3352" s="3" t="s">
        <v>955</v>
      </c>
      <c r="H3352" s="3" t="s">
        <v>5240</v>
      </c>
      <c r="I3352" s="3" t="s">
        <v>7043</v>
      </c>
      <c r="J3352" s="3"/>
      <c r="K3352" s="3"/>
      <c r="L3352" s="5"/>
    </row>
    <row r="3353" spans="1:12" ht="28.8" x14ac:dyDescent="0.55000000000000004">
      <c r="A3353" s="9" t="str">
        <f>HYPERLINK("PDF\FOIA-FWS-2020-00724-0003352.pdf","FOIA-FWS-2020-00724-0003352")</f>
        <v>FOIA-FWS-2020-00724-0003352</v>
      </c>
      <c r="B3353" s="3" t="s">
        <v>5241</v>
      </c>
      <c r="C3353" s="3" t="s">
        <v>3</v>
      </c>
      <c r="D3353" s="3" t="s">
        <v>33</v>
      </c>
      <c r="E3353" s="3" t="s">
        <v>5242</v>
      </c>
      <c r="F3353" s="4">
        <v>43838.545138888891</v>
      </c>
      <c r="G3353" s="3" t="s">
        <v>872</v>
      </c>
      <c r="H3353" s="3" t="s">
        <v>955</v>
      </c>
      <c r="I3353" s="3" t="s">
        <v>7043</v>
      </c>
      <c r="J3353" s="3"/>
      <c r="K3353" s="3"/>
      <c r="L3353" s="5"/>
    </row>
    <row r="3354" spans="1:12" ht="28.8" x14ac:dyDescent="0.55000000000000004">
      <c r="A3354" s="9" t="str">
        <f>HYPERLINK("PDF\FOIA-FWS-2020-00724-0003353.pdf","FOIA-FWS-2020-00724-0003353")</f>
        <v>FOIA-FWS-2020-00724-0003353</v>
      </c>
      <c r="B3354" s="3" t="s">
        <v>5243</v>
      </c>
      <c r="C3354" s="3" t="s">
        <v>3</v>
      </c>
      <c r="D3354" s="3" t="s">
        <v>33</v>
      </c>
      <c r="E3354" s="3" t="s">
        <v>5244</v>
      </c>
      <c r="F3354" s="4">
        <v>43838.560416666667</v>
      </c>
      <c r="G3354" s="3" t="s">
        <v>955</v>
      </c>
      <c r="H3354" s="3" t="s">
        <v>1516</v>
      </c>
      <c r="I3354" s="3" t="s">
        <v>7043</v>
      </c>
      <c r="J3354" s="3"/>
      <c r="K3354" s="3"/>
      <c r="L3354" s="5"/>
    </row>
    <row r="3355" spans="1:12" ht="28.8" x14ac:dyDescent="0.55000000000000004">
      <c r="A3355" s="9" t="str">
        <f>HYPERLINK("PDF\FOIA-FWS-2020-00724-0003354.pdf","FOIA-FWS-2020-00724-0003354")</f>
        <v>FOIA-FWS-2020-00724-0003354</v>
      </c>
      <c r="B3355" s="3" t="s">
        <v>5243</v>
      </c>
      <c r="C3355" s="3" t="s">
        <v>234</v>
      </c>
      <c r="D3355" s="3" t="s">
        <v>38</v>
      </c>
      <c r="E3355" s="3" t="s">
        <v>5245</v>
      </c>
      <c r="F3355" s="4">
        <v>43838.560416666667</v>
      </c>
      <c r="G3355" s="3"/>
      <c r="H3355" s="3"/>
      <c r="I3355" s="3" t="s">
        <v>7043</v>
      </c>
      <c r="J3355" s="3"/>
      <c r="K3355" s="3"/>
      <c r="L3355" s="5"/>
    </row>
    <row r="3356" spans="1:12" ht="28.8" x14ac:dyDescent="0.55000000000000004">
      <c r="A3356" s="9" t="str">
        <f>HYPERLINK("PDF\FOIA-FWS-2020-00724-0003355.pdf","FOIA-FWS-2020-00724-0003355")</f>
        <v>FOIA-FWS-2020-00724-0003355</v>
      </c>
      <c r="B3356" s="3" t="s">
        <v>5246</v>
      </c>
      <c r="C3356" s="3" t="s">
        <v>3</v>
      </c>
      <c r="D3356" s="3" t="s">
        <v>33</v>
      </c>
      <c r="E3356" s="3" t="s">
        <v>5247</v>
      </c>
      <c r="F3356" s="4">
        <v>43838.624305555553</v>
      </c>
      <c r="G3356" s="3" t="s">
        <v>963</v>
      </c>
      <c r="H3356" s="3" t="s">
        <v>945</v>
      </c>
      <c r="I3356" s="3" t="s">
        <v>7043</v>
      </c>
      <c r="J3356" s="3"/>
      <c r="K3356" s="3"/>
      <c r="L3356" s="5"/>
    </row>
    <row r="3357" spans="1:12" ht="28.8" x14ac:dyDescent="0.55000000000000004">
      <c r="A3357" s="9" t="str">
        <f>HYPERLINK("PDF\FOIA-FWS-2020-00724-0003356.pdf","FOIA-FWS-2020-00724-0003356")</f>
        <v>FOIA-FWS-2020-00724-0003356</v>
      </c>
      <c r="B3357" s="3" t="s">
        <v>5248</v>
      </c>
      <c r="C3357" s="3" t="s">
        <v>3</v>
      </c>
      <c r="D3357" s="3" t="s">
        <v>33</v>
      </c>
      <c r="E3357" s="3" t="s">
        <v>5090</v>
      </c>
      <c r="F3357" s="4">
        <v>43838.678472222222</v>
      </c>
      <c r="G3357" s="3" t="s">
        <v>955</v>
      </c>
      <c r="H3357" s="3" t="s">
        <v>5240</v>
      </c>
      <c r="I3357" s="3" t="s">
        <v>7043</v>
      </c>
      <c r="J3357" s="3"/>
      <c r="K3357" s="3"/>
      <c r="L3357" s="5"/>
    </row>
    <row r="3358" spans="1:12" ht="28.8" x14ac:dyDescent="0.55000000000000004">
      <c r="A3358" s="9" t="str">
        <f>HYPERLINK("PDF\FOIA-FWS-2020-00724-0003357.pdf","FOIA-FWS-2020-00724-0003357")</f>
        <v>FOIA-FWS-2020-00724-0003357</v>
      </c>
      <c r="B3358" s="3" t="s">
        <v>5249</v>
      </c>
      <c r="C3358" s="3" t="s">
        <v>3</v>
      </c>
      <c r="D3358" s="3" t="s">
        <v>33</v>
      </c>
      <c r="E3358" s="3" t="s">
        <v>5250</v>
      </c>
      <c r="F3358" s="4">
        <v>43838.685416666667</v>
      </c>
      <c r="G3358" s="3" t="s">
        <v>1332</v>
      </c>
      <c r="H3358" s="3" t="s">
        <v>955</v>
      </c>
      <c r="I3358" s="3" t="s">
        <v>7043</v>
      </c>
      <c r="J3358" s="3"/>
      <c r="K3358" s="3"/>
      <c r="L3358" s="5"/>
    </row>
    <row r="3359" spans="1:12" ht="86.4" x14ac:dyDescent="0.55000000000000004">
      <c r="A3359" s="9" t="str">
        <f>HYPERLINK("PDF\FOIA-FWS-2020-00724-0003358.pdf","FOIA-FWS-2020-00724-0003358")</f>
        <v>FOIA-FWS-2020-00724-0003358</v>
      </c>
      <c r="B3359" s="3" t="s">
        <v>5251</v>
      </c>
      <c r="C3359" s="3" t="s">
        <v>3</v>
      </c>
      <c r="D3359" s="3" t="s">
        <v>33</v>
      </c>
      <c r="E3359" s="3" t="s">
        <v>5253</v>
      </c>
      <c r="F3359" s="4">
        <v>43838.7</v>
      </c>
      <c r="G3359" s="3" t="s">
        <v>955</v>
      </c>
      <c r="H3359" s="3" t="s">
        <v>5252</v>
      </c>
      <c r="I3359" s="3" t="s">
        <v>7043</v>
      </c>
      <c r="J3359" s="3"/>
      <c r="K3359" s="3"/>
      <c r="L3359" s="5"/>
    </row>
    <row r="3360" spans="1:12" ht="28.8" x14ac:dyDescent="0.55000000000000004">
      <c r="A3360" s="9" t="str">
        <f>HYPERLINK("PDF\FOIA-FWS-2020-00724-0003359.pdf","FOIA-FWS-2020-00724-0003359")</f>
        <v>FOIA-FWS-2020-00724-0003359</v>
      </c>
      <c r="B3360" s="3" t="s">
        <v>5254</v>
      </c>
      <c r="C3360" s="3" t="s">
        <v>3</v>
      </c>
      <c r="D3360" s="3" t="s">
        <v>33</v>
      </c>
      <c r="E3360" s="3" t="s">
        <v>5255</v>
      </c>
      <c r="F3360" s="4">
        <v>43838.731944444444</v>
      </c>
      <c r="G3360" s="3" t="s">
        <v>945</v>
      </c>
      <c r="H3360" s="3" t="s">
        <v>1392</v>
      </c>
      <c r="I3360" s="3" t="s">
        <v>7043</v>
      </c>
      <c r="J3360" s="3"/>
      <c r="K3360" s="3"/>
      <c r="L3360" s="5"/>
    </row>
    <row r="3361" spans="1:12" ht="28.8" x14ac:dyDescent="0.55000000000000004">
      <c r="A3361" s="9" t="str">
        <f>HYPERLINK("PDF\FOIA-FWS-2020-00724-0003360.pdf","FOIA-FWS-2020-00724-0003360")</f>
        <v>FOIA-FWS-2020-00724-0003360</v>
      </c>
      <c r="B3361" s="3" t="s">
        <v>5256</v>
      </c>
      <c r="C3361" s="3" t="s">
        <v>3</v>
      </c>
      <c r="D3361" s="3" t="s">
        <v>33</v>
      </c>
      <c r="E3361" s="3" t="s">
        <v>5258</v>
      </c>
      <c r="F3361" s="4">
        <v>43838.780555555553</v>
      </c>
      <c r="G3361" s="3" t="s">
        <v>963</v>
      </c>
      <c r="H3361" s="3" t="s">
        <v>5257</v>
      </c>
      <c r="I3361" s="3" t="s">
        <v>7043</v>
      </c>
      <c r="J3361" s="3"/>
      <c r="K3361" s="3"/>
      <c r="L3361" s="5"/>
    </row>
    <row r="3362" spans="1:12" ht="28.8" x14ac:dyDescent="0.55000000000000004">
      <c r="A3362" s="9" t="str">
        <f>HYPERLINK("PDF\FOIA-FWS-2020-00724-0003361.pdf","FOIA-FWS-2020-00724-0003361")</f>
        <v>FOIA-FWS-2020-00724-0003361</v>
      </c>
      <c r="B3362" s="3" t="s">
        <v>5256</v>
      </c>
      <c r="C3362" s="3" t="s">
        <v>234</v>
      </c>
      <c r="D3362" s="3" t="s">
        <v>33</v>
      </c>
      <c r="E3362" s="3" t="s">
        <v>5259</v>
      </c>
      <c r="F3362" s="4">
        <v>43838.780555555553</v>
      </c>
      <c r="G3362" s="3"/>
      <c r="H3362" s="3"/>
      <c r="I3362" s="3" t="s">
        <v>7043</v>
      </c>
      <c r="J3362" s="3"/>
      <c r="K3362" s="3"/>
      <c r="L3362" s="5"/>
    </row>
    <row r="3363" spans="1:12" ht="28.8" x14ac:dyDescent="0.55000000000000004">
      <c r="A3363" s="9" t="str">
        <f>HYPERLINK("PDF\FOIA-FWS-2020-00724-0003362.pdf","FOIA-FWS-2020-00724-0003362")</f>
        <v>FOIA-FWS-2020-00724-0003362</v>
      </c>
      <c r="B3363" s="3" t="s">
        <v>5260</v>
      </c>
      <c r="C3363" s="3" t="s">
        <v>3</v>
      </c>
      <c r="D3363" s="3" t="s">
        <v>33</v>
      </c>
      <c r="E3363" s="3" t="s">
        <v>5261</v>
      </c>
      <c r="F3363" s="4">
        <v>43838.784722222219</v>
      </c>
      <c r="G3363" s="3" t="s">
        <v>872</v>
      </c>
      <c r="H3363" s="3" t="s">
        <v>919</v>
      </c>
      <c r="I3363" s="3" t="s">
        <v>7043</v>
      </c>
      <c r="J3363" s="3"/>
      <c r="K3363" s="3"/>
      <c r="L3363" s="5"/>
    </row>
    <row r="3364" spans="1:12" ht="28.8" x14ac:dyDescent="0.55000000000000004">
      <c r="A3364" s="9" t="str">
        <f>HYPERLINK("PDF\FOIA-FWS-2020-00724-0003363.pdf","FOIA-FWS-2020-00724-0003363")</f>
        <v>FOIA-FWS-2020-00724-0003363</v>
      </c>
      <c r="B3364" s="3" t="s">
        <v>5260</v>
      </c>
      <c r="C3364" s="3" t="s">
        <v>234</v>
      </c>
      <c r="D3364" s="3" t="s">
        <v>33</v>
      </c>
      <c r="E3364" s="3" t="s">
        <v>5262</v>
      </c>
      <c r="F3364" s="4">
        <v>43838.784722222219</v>
      </c>
      <c r="G3364" s="3"/>
      <c r="H3364" s="3"/>
      <c r="I3364" s="3" t="s">
        <v>7043</v>
      </c>
      <c r="J3364" s="3"/>
      <c r="K3364" s="3"/>
      <c r="L3364" s="5"/>
    </row>
    <row r="3365" spans="1:12" ht="28.8" x14ac:dyDescent="0.55000000000000004">
      <c r="A3365" s="9" t="str">
        <f>HYPERLINK("PDF\FOIA-FWS-2020-00724-0003364.pdf","FOIA-FWS-2020-00724-0003364")</f>
        <v>FOIA-FWS-2020-00724-0003364</v>
      </c>
      <c r="B3365" s="3" t="s">
        <v>5263</v>
      </c>
      <c r="C3365" s="3" t="s">
        <v>3</v>
      </c>
      <c r="D3365" s="3" t="s">
        <v>33</v>
      </c>
      <c r="E3365" s="3" t="s">
        <v>5264</v>
      </c>
      <c r="F3365" s="4">
        <v>43838.79583333333</v>
      </c>
      <c r="G3365" s="3" t="s">
        <v>1392</v>
      </c>
      <c r="H3365" s="3" t="s">
        <v>872</v>
      </c>
      <c r="I3365" s="3" t="s">
        <v>7043</v>
      </c>
      <c r="J3365" s="3"/>
      <c r="K3365" s="3"/>
      <c r="L3365" s="5"/>
    </row>
    <row r="3366" spans="1:12" ht="28.8" x14ac:dyDescent="0.55000000000000004">
      <c r="A3366" s="9" t="str">
        <f>HYPERLINK("PDF\FOIA-FWS-2020-00724-0003365.pdf","FOIA-FWS-2020-00724-0003365")</f>
        <v>FOIA-FWS-2020-00724-0003365</v>
      </c>
      <c r="B3366" s="3" t="s">
        <v>5265</v>
      </c>
      <c r="C3366" s="3" t="s">
        <v>3</v>
      </c>
      <c r="D3366" s="3" t="s">
        <v>33</v>
      </c>
      <c r="E3366" s="3" t="s">
        <v>5266</v>
      </c>
      <c r="F3366" s="4">
        <v>43838.859722222223</v>
      </c>
      <c r="G3366" s="3" t="s">
        <v>1489</v>
      </c>
      <c r="H3366" s="3" t="s">
        <v>1119</v>
      </c>
      <c r="I3366" s="3" t="s">
        <v>7043</v>
      </c>
      <c r="J3366" s="3"/>
      <c r="K3366" s="3"/>
      <c r="L3366" s="5"/>
    </row>
    <row r="3367" spans="1:12" ht="28.8" x14ac:dyDescent="0.55000000000000004">
      <c r="A3367" s="9" t="str">
        <f>HYPERLINK("PDF\FOIA-FWS-2020-00724-0003366.pdf","FOIA-FWS-2020-00724-0003366")</f>
        <v>FOIA-FWS-2020-00724-0003366</v>
      </c>
      <c r="B3367" s="3" t="s">
        <v>5265</v>
      </c>
      <c r="C3367" s="3" t="s">
        <v>234</v>
      </c>
      <c r="D3367" s="3" t="s">
        <v>160</v>
      </c>
      <c r="E3367" s="3" t="s">
        <v>5267</v>
      </c>
      <c r="F3367" s="4">
        <v>43838.859722222223</v>
      </c>
      <c r="G3367" s="3"/>
      <c r="H3367" s="3"/>
      <c r="I3367" s="3" t="s">
        <v>7043</v>
      </c>
      <c r="J3367" s="3"/>
      <c r="K3367" s="3"/>
      <c r="L3367" s="5" t="str">
        <f>HYPERLINK("NATIVE_FILES\FOIA-FWS-2020-00724-0003366.xlsx","FOIA-FWS-2020-00724-0003366.xlsx")</f>
        <v>FOIA-FWS-2020-00724-0003366.xlsx</v>
      </c>
    </row>
    <row r="3368" spans="1:12" ht="28.8" x14ac:dyDescent="0.55000000000000004">
      <c r="A3368" s="9" t="str">
        <f>HYPERLINK("PDF\FOIA-FWS-2020-00724-0003367.pdf","FOIA-FWS-2020-00724-0003367")</f>
        <v>FOIA-FWS-2020-00724-0003367</v>
      </c>
      <c r="B3368" s="3" t="s">
        <v>5268</v>
      </c>
      <c r="C3368" s="3" t="s">
        <v>3</v>
      </c>
      <c r="D3368" s="3" t="s">
        <v>33</v>
      </c>
      <c r="E3368" s="3" t="s">
        <v>5264</v>
      </c>
      <c r="F3368" s="4">
        <v>43839.456944444442</v>
      </c>
      <c r="G3368" s="3" t="s">
        <v>963</v>
      </c>
      <c r="H3368" s="3" t="s">
        <v>919</v>
      </c>
      <c r="I3368" s="3" t="s">
        <v>7043</v>
      </c>
      <c r="J3368" s="3"/>
      <c r="K3368" s="3"/>
      <c r="L3368" s="5"/>
    </row>
    <row r="3369" spans="1:12" ht="28.8" x14ac:dyDescent="0.55000000000000004">
      <c r="A3369" s="9" t="str">
        <f>HYPERLINK("PDF\FOIA-FWS-2020-00724-0003368.pdf","FOIA-FWS-2020-00724-0003368")</f>
        <v>FOIA-FWS-2020-00724-0003368</v>
      </c>
      <c r="B3369" s="3" t="s">
        <v>5269</v>
      </c>
      <c r="C3369" s="3" t="s">
        <v>3</v>
      </c>
      <c r="D3369" s="3" t="s">
        <v>33</v>
      </c>
      <c r="E3369" s="3" t="s">
        <v>5270</v>
      </c>
      <c r="F3369" s="4">
        <v>43839.490972222222</v>
      </c>
      <c r="G3369" s="3" t="s">
        <v>963</v>
      </c>
      <c r="H3369" s="3" t="s">
        <v>5257</v>
      </c>
      <c r="I3369" s="3" t="s">
        <v>7043</v>
      </c>
      <c r="J3369" s="3"/>
      <c r="K3369" s="3"/>
      <c r="L3369" s="5"/>
    </row>
    <row r="3370" spans="1:12" ht="28.8" x14ac:dyDescent="0.55000000000000004">
      <c r="A3370" s="9" t="str">
        <f>HYPERLINK("PDF\FOIA-FWS-2020-00724-0003369.pdf","FOIA-FWS-2020-00724-0003369")</f>
        <v>FOIA-FWS-2020-00724-0003369</v>
      </c>
      <c r="B3370" s="3" t="s">
        <v>5269</v>
      </c>
      <c r="C3370" s="3" t="s">
        <v>234</v>
      </c>
      <c r="D3370" s="3" t="s">
        <v>33</v>
      </c>
      <c r="E3370" s="3" t="s">
        <v>5271</v>
      </c>
      <c r="F3370" s="4">
        <v>43839.490972222222</v>
      </c>
      <c r="G3370" s="3"/>
      <c r="H3370" s="3"/>
      <c r="I3370" s="3" t="s">
        <v>7043</v>
      </c>
      <c r="J3370" s="3"/>
      <c r="K3370" s="3"/>
      <c r="L3370" s="5" t="str">
        <f>HYPERLINK("NATIVE_FILES\FOIA-FWS-2020-00724-0003369.xlsx","FOIA-FWS-2020-00724-0003369.xlsx")</f>
        <v>FOIA-FWS-2020-00724-0003369.xlsx</v>
      </c>
    </row>
    <row r="3371" spans="1:12" ht="28.8" x14ac:dyDescent="0.55000000000000004">
      <c r="A3371" s="9" t="str">
        <f>HYPERLINK("PDF\FOIA-FWS-2020-00724-0003370.pdf","FOIA-FWS-2020-00724-0003370")</f>
        <v>FOIA-FWS-2020-00724-0003370</v>
      </c>
      <c r="B3371" s="3" t="s">
        <v>5269</v>
      </c>
      <c r="C3371" s="3" t="s">
        <v>234</v>
      </c>
      <c r="D3371" s="3" t="s">
        <v>33</v>
      </c>
      <c r="E3371" s="3" t="s">
        <v>5272</v>
      </c>
      <c r="F3371" s="4">
        <v>43839.490972222222</v>
      </c>
      <c r="G3371" s="3"/>
      <c r="H3371" s="3"/>
      <c r="I3371" s="3" t="s">
        <v>7043</v>
      </c>
      <c r="J3371" s="3"/>
      <c r="K3371" s="3"/>
      <c r="L3371" s="5"/>
    </row>
    <row r="3372" spans="1:12" ht="28.8" x14ac:dyDescent="0.55000000000000004">
      <c r="A3372" s="9" t="str">
        <f>HYPERLINK("PDF\FOIA-FWS-2020-00724-0003371.pdf","FOIA-FWS-2020-00724-0003371")</f>
        <v>FOIA-FWS-2020-00724-0003371</v>
      </c>
      <c r="B3372" s="3" t="s">
        <v>5273</v>
      </c>
      <c r="C3372" s="3" t="s">
        <v>3</v>
      </c>
      <c r="D3372" s="3" t="s">
        <v>33</v>
      </c>
      <c r="E3372" s="3" t="s">
        <v>5276</v>
      </c>
      <c r="F3372" s="4">
        <v>43839.509027777778</v>
      </c>
      <c r="G3372" s="3" t="s">
        <v>5274</v>
      </c>
      <c r="H3372" s="3" t="s">
        <v>5275</v>
      </c>
      <c r="I3372" s="3" t="s">
        <v>7043</v>
      </c>
      <c r="J3372" s="3"/>
      <c r="K3372" s="3"/>
      <c r="L3372" s="5"/>
    </row>
    <row r="3373" spans="1:12" ht="28.8" x14ac:dyDescent="0.55000000000000004">
      <c r="A3373" s="9" t="str">
        <f>HYPERLINK("PDF\FOIA-FWS-2020-00724-0003372.pdf","FOIA-FWS-2020-00724-0003372")</f>
        <v>FOIA-FWS-2020-00724-0003372</v>
      </c>
      <c r="B3373" s="3" t="s">
        <v>5273</v>
      </c>
      <c r="C3373" s="3" t="s">
        <v>234</v>
      </c>
      <c r="D3373" s="3" t="s">
        <v>38</v>
      </c>
      <c r="E3373" s="3" t="s">
        <v>4739</v>
      </c>
      <c r="F3373" s="4">
        <v>43839.509027777778</v>
      </c>
      <c r="G3373" s="3"/>
      <c r="H3373" s="3"/>
      <c r="I3373" s="3" t="s">
        <v>7043</v>
      </c>
      <c r="J3373" s="3"/>
      <c r="K3373" s="3"/>
      <c r="L3373" s="5"/>
    </row>
    <row r="3374" spans="1:12" ht="28.8" x14ac:dyDescent="0.55000000000000004">
      <c r="A3374" s="9" t="str">
        <f>HYPERLINK("PDF\FOIA-FWS-2020-00724-0003373.pdf","FOIA-FWS-2020-00724-0003373")</f>
        <v>FOIA-FWS-2020-00724-0003373</v>
      </c>
      <c r="B3374" s="3" t="s">
        <v>5273</v>
      </c>
      <c r="C3374" s="3" t="s">
        <v>234</v>
      </c>
      <c r="D3374" s="3" t="s">
        <v>33</v>
      </c>
      <c r="E3374" s="3" t="s">
        <v>5219</v>
      </c>
      <c r="F3374" s="4">
        <v>43839.509027777778</v>
      </c>
      <c r="G3374" s="3"/>
      <c r="H3374" s="3"/>
      <c r="I3374" s="3" t="s">
        <v>7043</v>
      </c>
      <c r="J3374" s="3"/>
      <c r="K3374" s="3"/>
      <c r="L3374" s="5"/>
    </row>
    <row r="3375" spans="1:12" ht="28.8" x14ac:dyDescent="0.55000000000000004">
      <c r="A3375" s="9" t="str">
        <f>HYPERLINK("PDF\FOIA-FWS-2020-00724-0003374.pdf","FOIA-FWS-2020-00724-0003374")</f>
        <v>FOIA-FWS-2020-00724-0003374</v>
      </c>
      <c r="B3375" s="3" t="s">
        <v>5273</v>
      </c>
      <c r="C3375" s="3" t="s">
        <v>234</v>
      </c>
      <c r="D3375" s="3" t="s">
        <v>33</v>
      </c>
      <c r="E3375" s="3" t="s">
        <v>5220</v>
      </c>
      <c r="F3375" s="4">
        <v>43839.509027777778</v>
      </c>
      <c r="G3375" s="3"/>
      <c r="H3375" s="3"/>
      <c r="I3375" s="3" t="s">
        <v>7043</v>
      </c>
      <c r="J3375" s="3"/>
      <c r="K3375" s="3"/>
      <c r="L3375" s="5"/>
    </row>
    <row r="3376" spans="1:12" ht="28.8" x14ac:dyDescent="0.55000000000000004">
      <c r="A3376" s="9" t="str">
        <f>HYPERLINK("PDF\FOIA-FWS-2020-00724-0003375.pdf","FOIA-FWS-2020-00724-0003375")</f>
        <v>FOIA-FWS-2020-00724-0003375</v>
      </c>
      <c r="B3376" s="3" t="s">
        <v>5277</v>
      </c>
      <c r="C3376" s="3" t="s">
        <v>3</v>
      </c>
      <c r="D3376" s="3" t="s">
        <v>33</v>
      </c>
      <c r="E3376" s="3" t="s">
        <v>5264</v>
      </c>
      <c r="F3376" s="4">
        <v>43839.55</v>
      </c>
      <c r="G3376" s="3" t="s">
        <v>963</v>
      </c>
      <c r="H3376" s="3" t="s">
        <v>919</v>
      </c>
      <c r="I3376" s="3" t="s">
        <v>7043</v>
      </c>
      <c r="J3376" s="3"/>
      <c r="K3376" s="3"/>
      <c r="L3376" s="5"/>
    </row>
    <row r="3377" spans="1:12" ht="28.8" x14ac:dyDescent="0.55000000000000004">
      <c r="A3377" s="9" t="str">
        <f>HYPERLINK("PDF\FOIA-FWS-2020-00724-0003376.pdf","FOIA-FWS-2020-00724-0003376")</f>
        <v>FOIA-FWS-2020-00724-0003376</v>
      </c>
      <c r="B3377" s="3" t="s">
        <v>5278</v>
      </c>
      <c r="C3377" s="3" t="s">
        <v>3</v>
      </c>
      <c r="D3377" s="3" t="s">
        <v>33</v>
      </c>
      <c r="E3377" s="3" t="s">
        <v>5279</v>
      </c>
      <c r="F3377" s="4">
        <v>43839.613888888889</v>
      </c>
      <c r="G3377" s="3" t="s">
        <v>1489</v>
      </c>
      <c r="H3377" s="3" t="s">
        <v>1119</v>
      </c>
      <c r="I3377" s="3" t="s">
        <v>7043</v>
      </c>
      <c r="J3377" s="3"/>
      <c r="K3377" s="3"/>
      <c r="L3377" s="5"/>
    </row>
    <row r="3378" spans="1:12" ht="28.8" x14ac:dyDescent="0.55000000000000004">
      <c r="A3378" s="9" t="str">
        <f>HYPERLINK("PDF\FOIA-FWS-2020-00724-0003377.pdf","FOIA-FWS-2020-00724-0003377")</f>
        <v>FOIA-FWS-2020-00724-0003377</v>
      </c>
      <c r="B3378" s="3" t="s">
        <v>5280</v>
      </c>
      <c r="C3378" s="3" t="s">
        <v>3</v>
      </c>
      <c r="D3378" s="3" t="s">
        <v>33</v>
      </c>
      <c r="E3378" s="3" t="s">
        <v>5281</v>
      </c>
      <c r="F3378" s="4">
        <v>43840</v>
      </c>
      <c r="G3378" s="3"/>
      <c r="H3378" s="3"/>
      <c r="I3378" s="3" t="s">
        <v>7043</v>
      </c>
      <c r="J3378" s="3"/>
      <c r="K3378" s="3"/>
      <c r="L3378" s="5"/>
    </row>
    <row r="3379" spans="1:12" ht="28.8" x14ac:dyDescent="0.55000000000000004">
      <c r="A3379" s="9" t="str">
        <f>HYPERLINK("PDF\FOIA-FWS-2020-00724-0003378.pdf","FOIA-FWS-2020-00724-0003378")</f>
        <v>FOIA-FWS-2020-00724-0003378</v>
      </c>
      <c r="B3379" s="3" t="s">
        <v>5282</v>
      </c>
      <c r="C3379" s="3" t="s">
        <v>3</v>
      </c>
      <c r="D3379" s="3" t="s">
        <v>33</v>
      </c>
      <c r="E3379" s="3" t="s">
        <v>5283</v>
      </c>
      <c r="F3379" s="4">
        <v>43840.508333333331</v>
      </c>
      <c r="G3379" s="3" t="s">
        <v>5274</v>
      </c>
      <c r="H3379" s="3" t="s">
        <v>946</v>
      </c>
      <c r="I3379" s="3" t="s">
        <v>7043</v>
      </c>
      <c r="J3379" s="3"/>
      <c r="K3379" s="3"/>
      <c r="L3379" s="5"/>
    </row>
    <row r="3380" spans="1:12" ht="28.8" x14ac:dyDescent="0.55000000000000004">
      <c r="A3380" s="9" t="str">
        <f>HYPERLINK("PDF\FOIA-FWS-2020-00724-0003379.pdf","FOIA-FWS-2020-00724-0003379")</f>
        <v>FOIA-FWS-2020-00724-0003379</v>
      </c>
      <c r="B3380" s="3" t="s">
        <v>5284</v>
      </c>
      <c r="C3380" s="3" t="s">
        <v>3</v>
      </c>
      <c r="D3380" s="3" t="s">
        <v>33</v>
      </c>
      <c r="E3380" s="3" t="s">
        <v>5285</v>
      </c>
      <c r="F3380" s="4">
        <v>43840.540277777778</v>
      </c>
      <c r="G3380" s="3" t="s">
        <v>963</v>
      </c>
      <c r="H3380" s="3" t="s">
        <v>945</v>
      </c>
      <c r="I3380" s="3" t="s">
        <v>7043</v>
      </c>
      <c r="J3380" s="3"/>
      <c r="K3380" s="3"/>
      <c r="L3380" s="5"/>
    </row>
    <row r="3381" spans="1:12" ht="28.8" x14ac:dyDescent="0.55000000000000004">
      <c r="A3381" s="9" t="str">
        <f>HYPERLINK("PDF\FOIA-FWS-2020-00724-0003380.pdf","FOIA-FWS-2020-00724-0003380")</f>
        <v>FOIA-FWS-2020-00724-0003380</v>
      </c>
      <c r="B3381" s="3" t="s">
        <v>5284</v>
      </c>
      <c r="C3381" s="3" t="s">
        <v>234</v>
      </c>
      <c r="D3381" s="3" t="s">
        <v>33</v>
      </c>
      <c r="E3381" s="3" t="s">
        <v>4276</v>
      </c>
      <c r="F3381" s="4">
        <v>43840.540277777778</v>
      </c>
      <c r="G3381" s="3"/>
      <c r="H3381" s="3"/>
      <c r="I3381" s="3" t="s">
        <v>7043</v>
      </c>
      <c r="J3381" s="3"/>
      <c r="K3381" s="3"/>
      <c r="L3381" s="5"/>
    </row>
    <row r="3382" spans="1:12" ht="28.8" x14ac:dyDescent="0.55000000000000004">
      <c r="A3382" s="9" t="str">
        <f>HYPERLINK("PDF\FOIA-FWS-2020-00724-0003381.pdf","FOIA-FWS-2020-00724-0003381")</f>
        <v>FOIA-FWS-2020-00724-0003381</v>
      </c>
      <c r="B3382" s="3" t="s">
        <v>5284</v>
      </c>
      <c r="C3382" s="3" t="s">
        <v>234</v>
      </c>
      <c r="D3382" s="3" t="s">
        <v>33</v>
      </c>
      <c r="E3382" s="3" t="s">
        <v>5286</v>
      </c>
      <c r="F3382" s="4">
        <v>43840.540277777778</v>
      </c>
      <c r="G3382" s="3"/>
      <c r="H3382" s="3"/>
      <c r="I3382" s="3" t="s">
        <v>7043</v>
      </c>
      <c r="J3382" s="3"/>
      <c r="K3382" s="3"/>
      <c r="L3382" s="5"/>
    </row>
    <row r="3383" spans="1:12" ht="28.8" x14ac:dyDescent="0.55000000000000004">
      <c r="A3383" s="9" t="str">
        <f>HYPERLINK("PDF\FOIA-FWS-2020-00724-0003382.pdf","FOIA-FWS-2020-00724-0003382")</f>
        <v>FOIA-FWS-2020-00724-0003382</v>
      </c>
      <c r="B3383" s="3" t="s">
        <v>5287</v>
      </c>
      <c r="C3383" s="3" t="s">
        <v>3</v>
      </c>
      <c r="D3383" s="3" t="s">
        <v>33</v>
      </c>
      <c r="E3383" s="3" t="s">
        <v>5289</v>
      </c>
      <c r="F3383" s="4">
        <v>43840.553472222222</v>
      </c>
      <c r="G3383" s="3" t="s">
        <v>1332</v>
      </c>
      <c r="H3383" s="3" t="s">
        <v>5288</v>
      </c>
      <c r="I3383" s="3" t="s">
        <v>7043</v>
      </c>
      <c r="J3383" s="3"/>
      <c r="K3383" s="3"/>
      <c r="L3383" s="5"/>
    </row>
    <row r="3384" spans="1:12" ht="43.2" x14ac:dyDescent="0.55000000000000004">
      <c r="A3384" s="9" t="str">
        <f>HYPERLINK("PDF\FOIA-FWS-2020-00724-0003383.pdf","FOIA-FWS-2020-00724-0003383")</f>
        <v>FOIA-FWS-2020-00724-0003383</v>
      </c>
      <c r="B3384" s="3" t="s">
        <v>5290</v>
      </c>
      <c r="C3384" s="3" t="s">
        <v>3</v>
      </c>
      <c r="D3384" s="3" t="s">
        <v>33</v>
      </c>
      <c r="E3384" s="3" t="s">
        <v>5292</v>
      </c>
      <c r="F3384" s="4">
        <v>43840.59097222222</v>
      </c>
      <c r="G3384" s="3" t="s">
        <v>5291</v>
      </c>
      <c r="H3384" s="3" t="s">
        <v>872</v>
      </c>
      <c r="I3384" s="3" t="s">
        <v>7043</v>
      </c>
      <c r="J3384" s="3"/>
      <c r="K3384" s="3"/>
      <c r="L3384" s="5"/>
    </row>
    <row r="3385" spans="1:12" ht="28.8" x14ac:dyDescent="0.55000000000000004">
      <c r="A3385" s="9" t="str">
        <f>HYPERLINK("PDF\FOIA-FWS-2020-00724-0003384.pdf","FOIA-FWS-2020-00724-0003384")</f>
        <v>FOIA-FWS-2020-00724-0003384</v>
      </c>
      <c r="B3385" s="3" t="s">
        <v>5293</v>
      </c>
      <c r="C3385" s="3" t="s">
        <v>3</v>
      </c>
      <c r="D3385" s="3" t="s">
        <v>33</v>
      </c>
      <c r="E3385" s="3" t="s">
        <v>5294</v>
      </c>
      <c r="F3385" s="4">
        <v>43840.601388888892</v>
      </c>
      <c r="G3385" s="3" t="s">
        <v>945</v>
      </c>
      <c r="H3385" s="3" t="s">
        <v>2081</v>
      </c>
      <c r="I3385" s="3" t="s">
        <v>7043</v>
      </c>
      <c r="J3385" s="3"/>
      <c r="K3385" s="3"/>
      <c r="L3385" s="5"/>
    </row>
    <row r="3386" spans="1:12" ht="28.8" x14ac:dyDescent="0.55000000000000004">
      <c r="A3386" s="9" t="str">
        <f>HYPERLINK("PDF\FOIA-FWS-2020-00724-0003385.pdf","FOIA-FWS-2020-00724-0003385")</f>
        <v>FOIA-FWS-2020-00724-0003385</v>
      </c>
      <c r="B3386" s="3" t="s">
        <v>5295</v>
      </c>
      <c r="C3386" s="3" t="s">
        <v>3</v>
      </c>
      <c r="D3386" s="3" t="s">
        <v>33</v>
      </c>
      <c r="E3386" s="3" t="s">
        <v>5296</v>
      </c>
      <c r="F3386" s="4">
        <v>43840.605555555558</v>
      </c>
      <c r="G3386" s="3" t="s">
        <v>2081</v>
      </c>
      <c r="H3386" s="3" t="s">
        <v>1628</v>
      </c>
      <c r="I3386" s="3" t="s">
        <v>7043</v>
      </c>
      <c r="J3386" s="3"/>
      <c r="K3386" s="3"/>
      <c r="L3386" s="5"/>
    </row>
    <row r="3387" spans="1:12" ht="28.8" x14ac:dyDescent="0.55000000000000004">
      <c r="A3387" s="9" t="str">
        <f>HYPERLINK("PDF\FOIA-FWS-2020-00724-0003386.pdf","FOIA-FWS-2020-00724-0003386")</f>
        <v>FOIA-FWS-2020-00724-0003386</v>
      </c>
      <c r="B3387" s="3" t="s">
        <v>5297</v>
      </c>
      <c r="C3387" s="3" t="s">
        <v>3</v>
      </c>
      <c r="D3387" s="3" t="s">
        <v>1678</v>
      </c>
      <c r="E3387" s="3" t="s">
        <v>5298</v>
      </c>
      <c r="F3387" s="4">
        <v>43840.674305555556</v>
      </c>
      <c r="G3387" s="3" t="s">
        <v>5274</v>
      </c>
      <c r="H3387" s="3" t="s">
        <v>2726</v>
      </c>
      <c r="I3387" s="3" t="s">
        <v>7043</v>
      </c>
      <c r="J3387" s="3"/>
      <c r="K3387" s="3"/>
      <c r="L3387" s="5"/>
    </row>
    <row r="3388" spans="1:12" ht="28.8" x14ac:dyDescent="0.55000000000000004">
      <c r="A3388" s="9" t="str">
        <f>HYPERLINK("PDF\FOIA-FWS-2020-00724-0003387.pdf","FOIA-FWS-2020-00724-0003387")</f>
        <v>FOIA-FWS-2020-00724-0003387</v>
      </c>
      <c r="B3388" s="3" t="s">
        <v>5297</v>
      </c>
      <c r="C3388" s="3" t="s">
        <v>234</v>
      </c>
      <c r="D3388" s="3" t="s">
        <v>33</v>
      </c>
      <c r="E3388" s="3" t="s">
        <v>5299</v>
      </c>
      <c r="F3388" s="4">
        <v>43840.674305555556</v>
      </c>
      <c r="G3388" s="3"/>
      <c r="H3388" s="3"/>
      <c r="I3388" s="3" t="s">
        <v>7043</v>
      </c>
      <c r="J3388" s="3"/>
      <c r="K3388" s="3"/>
      <c r="L3388" s="5"/>
    </row>
    <row r="3389" spans="1:12" ht="28.8" x14ac:dyDescent="0.55000000000000004">
      <c r="A3389" s="9" t="str">
        <f>HYPERLINK("PDF\FOIA-FWS-2020-00724-0003388.pdf","FOIA-FWS-2020-00724-0003388")</f>
        <v>FOIA-FWS-2020-00724-0003388</v>
      </c>
      <c r="B3389" s="3" t="s">
        <v>5300</v>
      </c>
      <c r="C3389" s="3" t="s">
        <v>3</v>
      </c>
      <c r="D3389" s="3" t="s">
        <v>33</v>
      </c>
      <c r="E3389" s="3" t="s">
        <v>5301</v>
      </c>
      <c r="F3389" s="4">
        <v>43840.69027777778</v>
      </c>
      <c r="G3389" s="3" t="s">
        <v>946</v>
      </c>
      <c r="H3389" s="3" t="s">
        <v>945</v>
      </c>
      <c r="I3389" s="3" t="s">
        <v>7043</v>
      </c>
      <c r="J3389" s="3"/>
      <c r="K3389" s="3"/>
      <c r="L3389" s="5"/>
    </row>
    <row r="3390" spans="1:12" ht="28.8" x14ac:dyDescent="0.55000000000000004">
      <c r="A3390" s="9" t="str">
        <f>HYPERLINK("PDF\FOIA-FWS-2020-00724-0003389.pdf","FOIA-FWS-2020-00724-0003389")</f>
        <v>FOIA-FWS-2020-00724-0003389</v>
      </c>
      <c r="B3390" s="3" t="s">
        <v>5302</v>
      </c>
      <c r="C3390" s="3" t="s">
        <v>3</v>
      </c>
      <c r="D3390" s="3" t="s">
        <v>33</v>
      </c>
      <c r="E3390" s="3" t="s">
        <v>5303</v>
      </c>
      <c r="F3390" s="4">
        <v>43840.743055555555</v>
      </c>
      <c r="G3390" s="3" t="s">
        <v>1392</v>
      </c>
      <c r="H3390" s="3" t="s">
        <v>955</v>
      </c>
      <c r="I3390" s="3" t="s">
        <v>7043</v>
      </c>
      <c r="J3390" s="3"/>
      <c r="K3390" s="3"/>
      <c r="L3390" s="5"/>
    </row>
    <row r="3391" spans="1:12" ht="28.8" x14ac:dyDescent="0.55000000000000004">
      <c r="A3391" s="9" t="str">
        <f>HYPERLINK("PDF\FOIA-FWS-2020-00724-0003390.pdf","FOIA-FWS-2020-00724-0003390")</f>
        <v>FOIA-FWS-2020-00724-0003390</v>
      </c>
      <c r="B3391" s="3" t="s">
        <v>5304</v>
      </c>
      <c r="C3391" s="3" t="s">
        <v>3</v>
      </c>
      <c r="D3391" s="3" t="s">
        <v>33</v>
      </c>
      <c r="E3391" s="3" t="s">
        <v>5301</v>
      </c>
      <c r="F3391" s="4">
        <v>43840.773611111108</v>
      </c>
      <c r="G3391" s="3" t="s">
        <v>5274</v>
      </c>
      <c r="H3391" s="3" t="s">
        <v>946</v>
      </c>
      <c r="I3391" s="3" t="s">
        <v>7043</v>
      </c>
      <c r="J3391" s="3"/>
      <c r="K3391" s="3"/>
      <c r="L3391" s="5"/>
    </row>
    <row r="3392" spans="1:12" ht="43.2" x14ac:dyDescent="0.55000000000000004">
      <c r="A3392" s="9" t="str">
        <f>HYPERLINK("PDF\FOIA-FWS-2020-00724-0003391.pdf","FOIA-FWS-2020-00724-0003391")</f>
        <v>FOIA-FWS-2020-00724-0003391</v>
      </c>
      <c r="B3392" s="3" t="s">
        <v>5305</v>
      </c>
      <c r="C3392" s="3" t="s">
        <v>3</v>
      </c>
      <c r="D3392" s="3" t="s">
        <v>33</v>
      </c>
      <c r="E3392" s="3" t="s">
        <v>5307</v>
      </c>
      <c r="F3392" s="4">
        <v>43840.788888888892</v>
      </c>
      <c r="G3392" s="3" t="s">
        <v>963</v>
      </c>
      <c r="H3392" s="3" t="s">
        <v>5306</v>
      </c>
      <c r="I3392" s="3" t="s">
        <v>7043</v>
      </c>
      <c r="J3392" s="3"/>
      <c r="K3392" s="3"/>
      <c r="L3392" s="5"/>
    </row>
    <row r="3393" spans="1:12" ht="28.8" x14ac:dyDescent="0.55000000000000004">
      <c r="A3393" s="9" t="str">
        <f>HYPERLINK("PDF\FOIA-FWS-2020-00724-0003392.pdf","FOIA-FWS-2020-00724-0003392")</f>
        <v>FOIA-FWS-2020-00724-0003392</v>
      </c>
      <c r="B3393" s="3" t="s">
        <v>5305</v>
      </c>
      <c r="C3393" s="3" t="s">
        <v>234</v>
      </c>
      <c r="D3393" s="3" t="s">
        <v>33</v>
      </c>
      <c r="E3393" s="3" t="s">
        <v>5308</v>
      </c>
      <c r="F3393" s="4">
        <v>43840.788888888892</v>
      </c>
      <c r="G3393" s="3"/>
      <c r="H3393" s="3"/>
      <c r="I3393" s="3" t="s">
        <v>7043</v>
      </c>
      <c r="J3393" s="3"/>
      <c r="K3393" s="3"/>
      <c r="L3393" s="5"/>
    </row>
    <row r="3394" spans="1:12" ht="28.8" x14ac:dyDescent="0.55000000000000004">
      <c r="A3394" s="9" t="str">
        <f>HYPERLINK("PDF\FOIA-FWS-2020-00724-0003393.pdf","FOIA-FWS-2020-00724-0003393")</f>
        <v>FOIA-FWS-2020-00724-0003393</v>
      </c>
      <c r="B3394" s="3" t="s">
        <v>5309</v>
      </c>
      <c r="C3394" s="3" t="s">
        <v>3</v>
      </c>
      <c r="D3394" s="3" t="s">
        <v>33</v>
      </c>
      <c r="E3394" s="3" t="s">
        <v>5301</v>
      </c>
      <c r="F3394" s="4">
        <v>43840.796527777777</v>
      </c>
      <c r="G3394" s="3" t="s">
        <v>5274</v>
      </c>
      <c r="H3394" s="3" t="s">
        <v>946</v>
      </c>
      <c r="I3394" s="3" t="s">
        <v>7043</v>
      </c>
      <c r="J3394" s="3"/>
      <c r="K3394" s="3"/>
      <c r="L3394" s="5"/>
    </row>
    <row r="3395" spans="1:12" ht="28.8" x14ac:dyDescent="0.55000000000000004">
      <c r="A3395" s="9" t="str">
        <f>HYPERLINK("PDF\FOIA-FWS-2020-00724-0003394.pdf","FOIA-FWS-2020-00724-0003394")</f>
        <v>FOIA-FWS-2020-00724-0003394</v>
      </c>
      <c r="B3395" s="3" t="s">
        <v>5310</v>
      </c>
      <c r="C3395" s="3" t="s">
        <v>3</v>
      </c>
      <c r="D3395" s="3" t="s">
        <v>33</v>
      </c>
      <c r="E3395" s="3" t="s">
        <v>5298</v>
      </c>
      <c r="F3395" s="4">
        <v>43843.713888888888</v>
      </c>
      <c r="G3395" s="3" t="s">
        <v>945</v>
      </c>
      <c r="H3395" s="3" t="s">
        <v>852</v>
      </c>
      <c r="I3395" s="3" t="s">
        <v>7043</v>
      </c>
      <c r="J3395" s="3"/>
      <c r="K3395" s="3"/>
      <c r="L3395" s="5"/>
    </row>
    <row r="3396" spans="1:12" ht="28.8" x14ac:dyDescent="0.55000000000000004">
      <c r="A3396" s="9" t="str">
        <f>HYPERLINK("PDF\FOIA-FWS-2020-00724-0003395.pdf","FOIA-FWS-2020-00724-0003395")</f>
        <v>FOIA-FWS-2020-00724-0003395</v>
      </c>
      <c r="B3396" s="3" t="s">
        <v>5310</v>
      </c>
      <c r="C3396" s="3" t="s">
        <v>234</v>
      </c>
      <c r="D3396" s="3" t="s">
        <v>33</v>
      </c>
      <c r="E3396" s="3" t="s">
        <v>5299</v>
      </c>
      <c r="F3396" s="4">
        <v>43843.713888888888</v>
      </c>
      <c r="G3396" s="3"/>
      <c r="H3396" s="3"/>
      <c r="I3396" s="3" t="s">
        <v>7043</v>
      </c>
      <c r="J3396" s="3"/>
      <c r="K3396" s="3"/>
      <c r="L3396" s="5"/>
    </row>
    <row r="3397" spans="1:12" ht="28.8" x14ac:dyDescent="0.55000000000000004">
      <c r="A3397" s="9" t="str">
        <f>HYPERLINK("PDF\FOIA-FWS-2020-00724-0003396.pdf","FOIA-FWS-2020-00724-0003396")</f>
        <v>FOIA-FWS-2020-00724-0003396</v>
      </c>
      <c r="B3397" s="3" t="s">
        <v>5311</v>
      </c>
      <c r="C3397" s="3" t="s">
        <v>3</v>
      </c>
      <c r="D3397" s="3" t="s">
        <v>33</v>
      </c>
      <c r="E3397" s="3" t="s">
        <v>5298</v>
      </c>
      <c r="F3397" s="4">
        <v>43843.713888888888</v>
      </c>
      <c r="G3397" s="3" t="s">
        <v>945</v>
      </c>
      <c r="H3397" s="3" t="s">
        <v>852</v>
      </c>
      <c r="I3397" s="3" t="s">
        <v>7043</v>
      </c>
      <c r="J3397" s="3"/>
      <c r="K3397" s="3"/>
      <c r="L3397" s="5"/>
    </row>
    <row r="3398" spans="1:12" ht="28.8" x14ac:dyDescent="0.55000000000000004">
      <c r="A3398" s="9" t="str">
        <f>HYPERLINK("PDF\FOIA-FWS-2020-00724-0003397.pdf","FOIA-FWS-2020-00724-0003397")</f>
        <v>FOIA-FWS-2020-00724-0003397</v>
      </c>
      <c r="B3398" s="3" t="s">
        <v>5311</v>
      </c>
      <c r="C3398" s="3" t="s">
        <v>234</v>
      </c>
      <c r="D3398" s="3" t="s">
        <v>33</v>
      </c>
      <c r="E3398" s="3" t="s">
        <v>5312</v>
      </c>
      <c r="F3398" s="4">
        <v>43843.713888888888</v>
      </c>
      <c r="G3398" s="3"/>
      <c r="H3398" s="3"/>
      <c r="I3398" s="3" t="s">
        <v>7043</v>
      </c>
      <c r="J3398" s="3"/>
      <c r="K3398" s="3"/>
      <c r="L3398" s="5"/>
    </row>
    <row r="3399" spans="1:12" ht="28.8" x14ac:dyDescent="0.55000000000000004">
      <c r="A3399" s="9" t="str">
        <f>HYPERLINK("PDF\FOIA-FWS-2020-00724-0003398.pdf","FOIA-FWS-2020-00724-0003398")</f>
        <v>FOIA-FWS-2020-00724-0003398</v>
      </c>
      <c r="B3399" s="3" t="s">
        <v>5313</v>
      </c>
      <c r="C3399" s="3" t="s">
        <v>3</v>
      </c>
      <c r="D3399" s="3" t="s">
        <v>33</v>
      </c>
      <c r="E3399" s="3" t="s">
        <v>5314</v>
      </c>
      <c r="F3399" s="4">
        <v>43844</v>
      </c>
      <c r="G3399" s="3"/>
      <c r="H3399" s="3"/>
      <c r="I3399" s="3" t="s">
        <v>7043</v>
      </c>
      <c r="J3399" s="3"/>
      <c r="K3399" s="3"/>
      <c r="L3399" s="5"/>
    </row>
    <row r="3400" spans="1:12" ht="28.8" x14ac:dyDescent="0.55000000000000004">
      <c r="A3400" s="9" t="str">
        <f>HYPERLINK("PDF\FOIA-FWS-2020-00724-0003399.pdf","FOIA-FWS-2020-00724-0003399")</f>
        <v>FOIA-FWS-2020-00724-0003399</v>
      </c>
      <c r="B3400" s="3" t="s">
        <v>5315</v>
      </c>
      <c r="C3400" s="3" t="s">
        <v>3</v>
      </c>
      <c r="D3400" s="3" t="s">
        <v>33</v>
      </c>
      <c r="E3400" s="3" t="s">
        <v>5316</v>
      </c>
      <c r="F3400" s="4">
        <v>43844</v>
      </c>
      <c r="G3400" s="3"/>
      <c r="H3400" s="3"/>
      <c r="I3400" s="3" t="s">
        <v>7043</v>
      </c>
      <c r="J3400" s="3"/>
      <c r="K3400" s="3"/>
      <c r="L3400" s="5"/>
    </row>
    <row r="3401" spans="1:12" ht="28.8" x14ac:dyDescent="0.55000000000000004">
      <c r="A3401" s="9" t="str">
        <f>HYPERLINK("PDF\FOIA-FWS-2020-00724-0003400.pdf","FOIA-FWS-2020-00724-0003400")</f>
        <v>FOIA-FWS-2020-00724-0003400</v>
      </c>
      <c r="B3401" s="3" t="s">
        <v>5317</v>
      </c>
      <c r="C3401" s="3" t="s">
        <v>3</v>
      </c>
      <c r="D3401" s="3" t="s">
        <v>38</v>
      </c>
      <c r="E3401" s="3" t="s">
        <v>5318</v>
      </c>
      <c r="F3401" s="4">
        <v>43844</v>
      </c>
      <c r="G3401" s="3"/>
      <c r="H3401" s="3"/>
      <c r="I3401" s="3" t="s">
        <v>7043</v>
      </c>
      <c r="J3401" s="3"/>
      <c r="K3401" s="3"/>
      <c r="L3401" s="5"/>
    </row>
    <row r="3402" spans="1:12" ht="28.8" x14ac:dyDescent="0.55000000000000004">
      <c r="A3402" s="9" t="str">
        <f>HYPERLINK("PDF\FOIA-FWS-2020-00724-0003401.pdf","FOIA-FWS-2020-00724-0003401")</f>
        <v>FOIA-FWS-2020-00724-0003401</v>
      </c>
      <c r="B3402" s="3" t="s">
        <v>5319</v>
      </c>
      <c r="C3402" s="3" t="s">
        <v>3</v>
      </c>
      <c r="D3402" s="3" t="s">
        <v>38</v>
      </c>
      <c r="E3402" s="3" t="s">
        <v>5320</v>
      </c>
      <c r="F3402" s="4">
        <v>43844</v>
      </c>
      <c r="G3402" s="3"/>
      <c r="H3402" s="3"/>
      <c r="I3402" s="3" t="s">
        <v>7043</v>
      </c>
      <c r="J3402" s="3"/>
      <c r="K3402" s="3"/>
      <c r="L3402" s="5"/>
    </row>
    <row r="3403" spans="1:12" ht="28.8" x14ac:dyDescent="0.55000000000000004">
      <c r="A3403" s="9" t="str">
        <f>HYPERLINK("PDF\FOIA-FWS-2020-00724-0003402.pdf","FOIA-FWS-2020-00724-0003402")</f>
        <v>FOIA-FWS-2020-00724-0003402</v>
      </c>
      <c r="B3403" s="3" t="s">
        <v>5321</v>
      </c>
      <c r="C3403" s="3" t="s">
        <v>3</v>
      </c>
      <c r="D3403" s="3" t="s">
        <v>38</v>
      </c>
      <c r="E3403" s="3" t="s">
        <v>5322</v>
      </c>
      <c r="F3403" s="4">
        <v>43844</v>
      </c>
      <c r="G3403" s="3"/>
      <c r="H3403" s="3"/>
      <c r="I3403" s="3" t="s">
        <v>7043</v>
      </c>
      <c r="J3403" s="3"/>
      <c r="K3403" s="3"/>
      <c r="L3403" s="5"/>
    </row>
    <row r="3404" spans="1:12" ht="28.8" x14ac:dyDescent="0.55000000000000004">
      <c r="A3404" s="9" t="str">
        <f>HYPERLINK("PDF\FOIA-FWS-2020-00724-0003403.pdf","FOIA-FWS-2020-00724-0003403")</f>
        <v>FOIA-FWS-2020-00724-0003403</v>
      </c>
      <c r="B3404" s="3" t="s">
        <v>5323</v>
      </c>
      <c r="C3404" s="3" t="s">
        <v>3</v>
      </c>
      <c r="D3404" s="3" t="s">
        <v>38</v>
      </c>
      <c r="E3404" s="3" t="s">
        <v>5324</v>
      </c>
      <c r="F3404" s="4">
        <v>43844</v>
      </c>
      <c r="G3404" s="3"/>
      <c r="H3404" s="3"/>
      <c r="I3404" s="3" t="s">
        <v>7043</v>
      </c>
      <c r="J3404" s="3"/>
      <c r="K3404" s="3"/>
      <c r="L3404" s="5"/>
    </row>
    <row r="3405" spans="1:12" ht="28.8" x14ac:dyDescent="0.55000000000000004">
      <c r="A3405" s="9" t="str">
        <f>HYPERLINK("PDF\FOIA-FWS-2020-00724-0003404.pdf","FOIA-FWS-2020-00724-0003404")</f>
        <v>FOIA-FWS-2020-00724-0003404</v>
      </c>
      <c r="B3405" s="3" t="s">
        <v>5325</v>
      </c>
      <c r="C3405" s="3" t="s">
        <v>3</v>
      </c>
      <c r="D3405" s="3" t="s">
        <v>38</v>
      </c>
      <c r="E3405" s="3" t="s">
        <v>5326</v>
      </c>
      <c r="F3405" s="4">
        <v>43844</v>
      </c>
      <c r="G3405" s="3"/>
      <c r="H3405" s="3"/>
      <c r="I3405" s="3" t="s">
        <v>7043</v>
      </c>
      <c r="J3405" s="3"/>
      <c r="K3405" s="3"/>
      <c r="L3405" s="5"/>
    </row>
    <row r="3406" spans="1:12" ht="28.8" x14ac:dyDescent="0.55000000000000004">
      <c r="A3406" s="9" t="str">
        <f>HYPERLINK("PDF\FOIA-FWS-2020-00724-0003405.pdf","FOIA-FWS-2020-00724-0003405")</f>
        <v>FOIA-FWS-2020-00724-0003405</v>
      </c>
      <c r="B3406" s="3" t="s">
        <v>5327</v>
      </c>
      <c r="C3406" s="3" t="s">
        <v>3</v>
      </c>
      <c r="D3406" s="3" t="s">
        <v>38</v>
      </c>
      <c r="E3406" s="3" t="s">
        <v>5328</v>
      </c>
      <c r="F3406" s="4">
        <v>43844</v>
      </c>
      <c r="G3406" s="3"/>
      <c r="H3406" s="3"/>
      <c r="I3406" s="3" t="s">
        <v>7043</v>
      </c>
      <c r="J3406" s="3"/>
      <c r="K3406" s="3"/>
      <c r="L3406" s="5"/>
    </row>
    <row r="3407" spans="1:12" ht="28.8" x14ac:dyDescent="0.55000000000000004">
      <c r="A3407" s="9" t="str">
        <f>HYPERLINK("PDF\FOIA-FWS-2020-00724-0003406.pdf","FOIA-FWS-2020-00724-0003406")</f>
        <v>FOIA-FWS-2020-00724-0003406</v>
      </c>
      <c r="B3407" s="3" t="s">
        <v>5329</v>
      </c>
      <c r="C3407" s="3" t="s">
        <v>3</v>
      </c>
      <c r="D3407" s="3" t="s">
        <v>38</v>
      </c>
      <c r="E3407" s="3" t="s">
        <v>5330</v>
      </c>
      <c r="F3407" s="4">
        <v>43844</v>
      </c>
      <c r="G3407" s="3"/>
      <c r="H3407" s="3"/>
      <c r="I3407" s="3" t="s">
        <v>7043</v>
      </c>
      <c r="J3407" s="3"/>
      <c r="K3407" s="3"/>
      <c r="L3407" s="5"/>
    </row>
    <row r="3408" spans="1:12" ht="28.8" x14ac:dyDescent="0.55000000000000004">
      <c r="A3408" s="9" t="str">
        <f>HYPERLINK("PDF\FOIA-FWS-2020-00724-0003407.pdf","FOIA-FWS-2020-00724-0003407")</f>
        <v>FOIA-FWS-2020-00724-0003407</v>
      </c>
      <c r="B3408" s="3" t="s">
        <v>5331</v>
      </c>
      <c r="C3408" s="3" t="s">
        <v>3</v>
      </c>
      <c r="D3408" s="3" t="s">
        <v>38</v>
      </c>
      <c r="E3408" s="3" t="s">
        <v>5333</v>
      </c>
      <c r="F3408" s="4">
        <v>43844.46875</v>
      </c>
      <c r="G3408" s="3" t="s">
        <v>963</v>
      </c>
      <c r="H3408" s="3" t="s">
        <v>5332</v>
      </c>
      <c r="I3408" s="3" t="s">
        <v>7043</v>
      </c>
      <c r="J3408" s="3"/>
      <c r="K3408" s="3"/>
      <c r="L3408" s="5"/>
    </row>
    <row r="3409" spans="1:12" ht="28.8" x14ac:dyDescent="0.55000000000000004">
      <c r="A3409" s="9" t="str">
        <f>HYPERLINK("PDF\FOIA-FWS-2020-00724-0003408.pdf","FOIA-FWS-2020-00724-0003408")</f>
        <v>FOIA-FWS-2020-00724-0003408</v>
      </c>
      <c r="B3409" s="3" t="s">
        <v>5331</v>
      </c>
      <c r="C3409" s="3" t="s">
        <v>234</v>
      </c>
      <c r="D3409" s="3" t="s">
        <v>38</v>
      </c>
      <c r="E3409" s="3" t="s">
        <v>5334</v>
      </c>
      <c r="F3409" s="4">
        <v>43844.46875</v>
      </c>
      <c r="G3409" s="3"/>
      <c r="H3409" s="3"/>
      <c r="I3409" s="3" t="s">
        <v>7043</v>
      </c>
      <c r="J3409" s="3"/>
      <c r="K3409" s="3"/>
      <c r="L3409" s="5"/>
    </row>
    <row r="3410" spans="1:12" ht="28.8" x14ac:dyDescent="0.55000000000000004">
      <c r="A3410" s="9" t="str">
        <f>HYPERLINK("PDF\FOIA-FWS-2020-00724-0003409.pdf","FOIA-FWS-2020-00724-0003409")</f>
        <v>FOIA-FWS-2020-00724-0003409</v>
      </c>
      <c r="B3410" s="3" t="s">
        <v>5331</v>
      </c>
      <c r="C3410" s="3" t="s">
        <v>234</v>
      </c>
      <c r="D3410" s="3" t="s">
        <v>38</v>
      </c>
      <c r="E3410" s="3" t="s">
        <v>5335</v>
      </c>
      <c r="F3410" s="4">
        <v>43844.46875</v>
      </c>
      <c r="G3410" s="3"/>
      <c r="H3410" s="3"/>
      <c r="I3410" s="3" t="s">
        <v>7043</v>
      </c>
      <c r="J3410" s="3"/>
      <c r="K3410" s="3"/>
      <c r="L3410" s="5"/>
    </row>
    <row r="3411" spans="1:12" ht="72" x14ac:dyDescent="0.55000000000000004">
      <c r="A3411" s="9" t="str">
        <f>HYPERLINK("PDF\FOIA-FWS-2020-00724-0003410.pdf","FOIA-FWS-2020-00724-0003410")</f>
        <v>FOIA-FWS-2020-00724-0003410</v>
      </c>
      <c r="B3411" s="3" t="s">
        <v>5336</v>
      </c>
      <c r="C3411" s="3" t="s">
        <v>3</v>
      </c>
      <c r="D3411" s="3" t="s">
        <v>33</v>
      </c>
      <c r="E3411" s="3" t="s">
        <v>5337</v>
      </c>
      <c r="F3411" s="4">
        <v>43844.635416666664</v>
      </c>
      <c r="G3411" s="3" t="s">
        <v>1963</v>
      </c>
      <c r="H3411" s="3" t="s">
        <v>1631</v>
      </c>
      <c r="I3411" s="3" t="s">
        <v>7043</v>
      </c>
      <c r="J3411" s="3"/>
      <c r="K3411" s="3"/>
      <c r="L3411" s="5"/>
    </row>
    <row r="3412" spans="1:12" ht="57.6" x14ac:dyDescent="0.55000000000000004">
      <c r="A3412" s="9" t="str">
        <f>HYPERLINK("PDF\FOIA-FWS-2020-00724-0003411.pdf","FOIA-FWS-2020-00724-0003411")</f>
        <v>FOIA-FWS-2020-00724-0003411</v>
      </c>
      <c r="B3412" s="3" t="s">
        <v>5338</v>
      </c>
      <c r="C3412" s="3" t="s">
        <v>3</v>
      </c>
      <c r="D3412" s="3" t="s">
        <v>33</v>
      </c>
      <c r="E3412" s="3" t="s">
        <v>5340</v>
      </c>
      <c r="F3412" s="4">
        <v>43844.684027777781</v>
      </c>
      <c r="G3412" s="3" t="s">
        <v>919</v>
      </c>
      <c r="H3412" s="3" t="s">
        <v>5339</v>
      </c>
      <c r="I3412" s="3" t="s">
        <v>7043</v>
      </c>
      <c r="J3412" s="3"/>
      <c r="K3412" s="3"/>
      <c r="L3412" s="5"/>
    </row>
    <row r="3413" spans="1:12" ht="28.8" x14ac:dyDescent="0.55000000000000004">
      <c r="A3413" s="9" t="str">
        <f>HYPERLINK("PDF\FOIA-FWS-2020-00724-0003412.pdf","FOIA-FWS-2020-00724-0003412")</f>
        <v>FOIA-FWS-2020-00724-0003412</v>
      </c>
      <c r="B3413" s="3" t="s">
        <v>5341</v>
      </c>
      <c r="C3413" s="3" t="s">
        <v>3</v>
      </c>
      <c r="D3413" s="3" t="s">
        <v>160</v>
      </c>
      <c r="E3413" s="3" t="s">
        <v>5342</v>
      </c>
      <c r="F3413" s="4">
        <v>43844.684027777781</v>
      </c>
      <c r="G3413" s="3"/>
      <c r="H3413" s="3"/>
      <c r="I3413" s="3" t="s">
        <v>7043</v>
      </c>
      <c r="J3413" s="3"/>
      <c r="K3413" s="3"/>
      <c r="L3413" s="5"/>
    </row>
    <row r="3414" spans="1:12" ht="28.8" x14ac:dyDescent="0.55000000000000004">
      <c r="A3414" s="9" t="str">
        <f>HYPERLINK("PDF\FOIA-FWS-2020-00724-0003413.pdf","FOIA-FWS-2020-00724-0003413")</f>
        <v>FOIA-FWS-2020-00724-0003413</v>
      </c>
      <c r="B3414" s="3" t="s">
        <v>5343</v>
      </c>
      <c r="C3414" s="3" t="s">
        <v>3</v>
      </c>
      <c r="D3414" s="3" t="s">
        <v>33</v>
      </c>
      <c r="E3414" s="3" t="s">
        <v>5345</v>
      </c>
      <c r="F3414" s="4">
        <v>43844.726388888892</v>
      </c>
      <c r="G3414" s="3" t="s">
        <v>963</v>
      </c>
      <c r="H3414" s="3" t="s">
        <v>5344</v>
      </c>
      <c r="I3414" s="3" t="s">
        <v>7043</v>
      </c>
      <c r="J3414" s="3"/>
      <c r="K3414" s="3"/>
      <c r="L3414" s="5"/>
    </row>
    <row r="3415" spans="1:12" ht="28.8" x14ac:dyDescent="0.55000000000000004">
      <c r="A3415" s="9" t="str">
        <f>HYPERLINK("PDF\FOIA-FWS-2020-00724-0003414.pdf","FOIA-FWS-2020-00724-0003414")</f>
        <v>FOIA-FWS-2020-00724-0003414</v>
      </c>
      <c r="B3415" s="3" t="s">
        <v>5346</v>
      </c>
      <c r="C3415" s="3" t="s">
        <v>3</v>
      </c>
      <c r="D3415" s="3" t="s">
        <v>33</v>
      </c>
      <c r="E3415" s="3" t="s">
        <v>5347</v>
      </c>
      <c r="F3415" s="4">
        <v>43844.729861111111</v>
      </c>
      <c r="G3415" s="3" t="s">
        <v>963</v>
      </c>
      <c r="H3415" s="3" t="s">
        <v>5344</v>
      </c>
      <c r="I3415" s="3" t="s">
        <v>7043</v>
      </c>
      <c r="J3415" s="3"/>
      <c r="K3415" s="3"/>
      <c r="L3415" s="5"/>
    </row>
    <row r="3416" spans="1:12" ht="28.8" x14ac:dyDescent="0.55000000000000004">
      <c r="A3416" s="9" t="str">
        <f>HYPERLINK("PDF\FOIA-FWS-2020-00724-0003415.pdf","FOIA-FWS-2020-00724-0003415")</f>
        <v>FOIA-FWS-2020-00724-0003415</v>
      </c>
      <c r="B3416" s="3" t="s">
        <v>5348</v>
      </c>
      <c r="C3416" s="3" t="s">
        <v>3</v>
      </c>
      <c r="D3416" s="3" t="s">
        <v>33</v>
      </c>
      <c r="E3416" s="3" t="s">
        <v>5349</v>
      </c>
      <c r="F3416" s="4">
        <v>43845.563194444447</v>
      </c>
      <c r="G3416" s="3" t="s">
        <v>1631</v>
      </c>
      <c r="H3416" s="3" t="s">
        <v>1963</v>
      </c>
      <c r="I3416" s="3" t="s">
        <v>7043</v>
      </c>
      <c r="J3416" s="3"/>
      <c r="K3416" s="3"/>
      <c r="L3416" s="5"/>
    </row>
    <row r="3417" spans="1:12" ht="43.2" x14ac:dyDescent="0.55000000000000004">
      <c r="A3417" s="9" t="str">
        <f>HYPERLINK("PDF\FOIA-FWS-2020-00724-0003416.pdf","FOIA-FWS-2020-00724-0003416")</f>
        <v>FOIA-FWS-2020-00724-0003416</v>
      </c>
      <c r="B3417" s="3" t="s">
        <v>5350</v>
      </c>
      <c r="C3417" s="3" t="s">
        <v>3</v>
      </c>
      <c r="D3417" s="3" t="s">
        <v>33</v>
      </c>
      <c r="E3417" s="3" t="s">
        <v>5352</v>
      </c>
      <c r="F3417" s="4">
        <v>43845.634027777778</v>
      </c>
      <c r="G3417" s="3" t="s">
        <v>919</v>
      </c>
      <c r="H3417" s="3" t="s">
        <v>5351</v>
      </c>
      <c r="I3417" s="3" t="s">
        <v>7043</v>
      </c>
      <c r="J3417" s="3"/>
      <c r="K3417" s="3"/>
      <c r="L3417" s="5"/>
    </row>
    <row r="3418" spans="1:12" ht="28.8" x14ac:dyDescent="0.55000000000000004">
      <c r="A3418" s="9" t="str">
        <f>HYPERLINK("PDF\FOIA-FWS-2020-00724-0003417.pdf","FOIA-FWS-2020-00724-0003417")</f>
        <v>FOIA-FWS-2020-00724-0003417</v>
      </c>
      <c r="B3418" s="3" t="s">
        <v>5353</v>
      </c>
      <c r="C3418" s="3" t="s">
        <v>3</v>
      </c>
      <c r="D3418" s="3" t="s">
        <v>33</v>
      </c>
      <c r="E3418" s="3" t="s">
        <v>5354</v>
      </c>
      <c r="F3418" s="4">
        <v>43845.650694444441</v>
      </c>
      <c r="G3418" s="3" t="s">
        <v>872</v>
      </c>
      <c r="H3418" s="3" t="s">
        <v>941</v>
      </c>
      <c r="I3418" s="3" t="s">
        <v>7043</v>
      </c>
      <c r="J3418" s="3"/>
      <c r="K3418" s="3"/>
      <c r="L3418" s="5"/>
    </row>
    <row r="3419" spans="1:12" ht="28.8" x14ac:dyDescent="0.55000000000000004">
      <c r="A3419" s="9" t="str">
        <f>HYPERLINK("PDF\FOIA-FWS-2020-00724-0003418.pdf","FOIA-FWS-2020-00724-0003418")</f>
        <v>FOIA-FWS-2020-00724-0003418</v>
      </c>
      <c r="B3419" s="3" t="s">
        <v>5355</v>
      </c>
      <c r="C3419" s="3" t="s">
        <v>3</v>
      </c>
      <c r="D3419" s="3" t="s">
        <v>33</v>
      </c>
      <c r="E3419" s="3" t="s">
        <v>5356</v>
      </c>
      <c r="F3419" s="4">
        <v>43845.663888888892</v>
      </c>
      <c r="G3419" s="3" t="s">
        <v>861</v>
      </c>
      <c r="H3419" s="3" t="s">
        <v>955</v>
      </c>
      <c r="I3419" s="3" t="s">
        <v>7043</v>
      </c>
      <c r="J3419" s="3"/>
      <c r="K3419" s="3"/>
      <c r="L3419" s="5"/>
    </row>
    <row r="3420" spans="1:12" ht="28.8" x14ac:dyDescent="0.55000000000000004">
      <c r="A3420" s="9" t="str">
        <f>HYPERLINK("PDF\FOIA-FWS-2020-00724-0003419.pdf","FOIA-FWS-2020-00724-0003419")</f>
        <v>FOIA-FWS-2020-00724-0003419</v>
      </c>
      <c r="B3420" s="3" t="s">
        <v>5357</v>
      </c>
      <c r="C3420" s="3" t="s">
        <v>3</v>
      </c>
      <c r="D3420" s="3" t="s">
        <v>33</v>
      </c>
      <c r="E3420" s="3" t="s">
        <v>5358</v>
      </c>
      <c r="F3420" s="4">
        <v>43845.8125</v>
      </c>
      <c r="G3420" s="3" t="s">
        <v>3905</v>
      </c>
      <c r="H3420" s="3" t="s">
        <v>872</v>
      </c>
      <c r="I3420" s="3" t="s">
        <v>7043</v>
      </c>
      <c r="J3420" s="3"/>
      <c r="K3420" s="3"/>
      <c r="L3420" s="5"/>
    </row>
    <row r="3421" spans="1:12" ht="28.8" x14ac:dyDescent="0.55000000000000004">
      <c r="A3421" s="9" t="str">
        <f>HYPERLINK("PDF\FOIA-FWS-2020-00724-0003420.pdf","FOIA-FWS-2020-00724-0003420")</f>
        <v>FOIA-FWS-2020-00724-0003420</v>
      </c>
      <c r="B3421" s="3" t="s">
        <v>5359</v>
      </c>
      <c r="C3421" s="3" t="s">
        <v>3</v>
      </c>
      <c r="D3421" s="3" t="s">
        <v>33</v>
      </c>
      <c r="E3421" s="3" t="s">
        <v>5360</v>
      </c>
      <c r="F3421" s="4">
        <v>43845.836805555555</v>
      </c>
      <c r="G3421" s="3" t="s">
        <v>955</v>
      </c>
      <c r="H3421" s="3" t="s">
        <v>861</v>
      </c>
      <c r="I3421" s="3" t="s">
        <v>7043</v>
      </c>
      <c r="J3421" s="3"/>
      <c r="K3421" s="3"/>
      <c r="L3421" s="5"/>
    </row>
    <row r="3422" spans="1:12" ht="28.8" x14ac:dyDescent="0.55000000000000004">
      <c r="A3422" s="9" t="str">
        <f>HYPERLINK("PDF\FOIA-FWS-2020-00724-0003421.pdf","FOIA-FWS-2020-00724-0003421")</f>
        <v>FOIA-FWS-2020-00724-0003421</v>
      </c>
      <c r="B3422" s="3" t="s">
        <v>5359</v>
      </c>
      <c r="C3422" s="3" t="s">
        <v>234</v>
      </c>
      <c r="D3422" s="3" t="s">
        <v>33</v>
      </c>
      <c r="E3422" s="3" t="s">
        <v>5361</v>
      </c>
      <c r="F3422" s="4">
        <v>43845.836805555555</v>
      </c>
      <c r="G3422" s="3"/>
      <c r="H3422" s="3"/>
      <c r="I3422" s="3" t="s">
        <v>7043</v>
      </c>
      <c r="J3422" s="3"/>
      <c r="K3422" s="3"/>
      <c r="L3422" s="5"/>
    </row>
    <row r="3423" spans="1:12" ht="28.8" x14ac:dyDescent="0.55000000000000004">
      <c r="A3423" s="9" t="str">
        <f>HYPERLINK("PDF\FOIA-FWS-2020-00724-0003422.pdf","FOIA-FWS-2020-00724-0003422")</f>
        <v>FOIA-FWS-2020-00724-0003422</v>
      </c>
      <c r="B3423" s="3" t="s">
        <v>5362</v>
      </c>
      <c r="C3423" s="3" t="s">
        <v>3</v>
      </c>
      <c r="D3423" s="3" t="s">
        <v>33</v>
      </c>
      <c r="E3423" s="3" t="s">
        <v>5364</v>
      </c>
      <c r="F3423" s="4">
        <v>43845.847916666666</v>
      </c>
      <c r="G3423" s="3" t="s">
        <v>1392</v>
      </c>
      <c r="H3423" s="3" t="s">
        <v>5363</v>
      </c>
      <c r="I3423" s="3" t="s">
        <v>7043</v>
      </c>
      <c r="J3423" s="3"/>
      <c r="K3423" s="3"/>
      <c r="L3423" s="5"/>
    </row>
    <row r="3424" spans="1:12" ht="28.8" x14ac:dyDescent="0.55000000000000004">
      <c r="A3424" s="9" t="str">
        <f>HYPERLINK("PDF\FOIA-FWS-2020-00724-0003423.pdf","FOIA-FWS-2020-00724-0003423")</f>
        <v>FOIA-FWS-2020-00724-0003423</v>
      </c>
      <c r="B3424" s="3" t="s">
        <v>5365</v>
      </c>
      <c r="C3424" s="3" t="s">
        <v>3</v>
      </c>
      <c r="D3424" s="3" t="s">
        <v>33</v>
      </c>
      <c r="E3424" s="3" t="s">
        <v>5366</v>
      </c>
      <c r="F3424" s="4">
        <v>43846</v>
      </c>
      <c r="G3424" s="3"/>
      <c r="H3424" s="3"/>
      <c r="I3424" s="3" t="s">
        <v>7043</v>
      </c>
      <c r="J3424" s="3"/>
      <c r="K3424" s="3"/>
      <c r="L3424" s="5"/>
    </row>
    <row r="3425" spans="1:12" ht="28.8" x14ac:dyDescent="0.55000000000000004">
      <c r="A3425" s="9" t="str">
        <f>HYPERLINK("PDF\FOIA-FWS-2020-00724-0003424.pdf","FOIA-FWS-2020-00724-0003424")</f>
        <v>FOIA-FWS-2020-00724-0003424</v>
      </c>
      <c r="B3425" s="3" t="s">
        <v>5367</v>
      </c>
      <c r="C3425" s="3" t="s">
        <v>3</v>
      </c>
      <c r="D3425" s="3" t="s">
        <v>33</v>
      </c>
      <c r="E3425" s="3" t="s">
        <v>1752</v>
      </c>
      <c r="F3425" s="4">
        <v>43846</v>
      </c>
      <c r="G3425" s="3"/>
      <c r="H3425" s="3"/>
      <c r="I3425" s="3" t="s">
        <v>7043</v>
      </c>
      <c r="J3425" s="3"/>
      <c r="K3425" s="3"/>
      <c r="L3425" s="5"/>
    </row>
    <row r="3426" spans="1:12" ht="28.8" x14ac:dyDescent="0.55000000000000004">
      <c r="A3426" s="9" t="str">
        <f>HYPERLINK("PDF\FOIA-FWS-2020-00724-0003425.pdf","FOIA-FWS-2020-00724-0003425")</f>
        <v>FOIA-FWS-2020-00724-0003425</v>
      </c>
      <c r="B3426" s="3" t="s">
        <v>5368</v>
      </c>
      <c r="C3426" s="3" t="s">
        <v>3</v>
      </c>
      <c r="D3426" s="3" t="s">
        <v>33</v>
      </c>
      <c r="E3426" s="3" t="s">
        <v>5369</v>
      </c>
      <c r="F3426" s="4">
        <v>43846.467361111114</v>
      </c>
      <c r="G3426" s="3" t="s">
        <v>3905</v>
      </c>
      <c r="H3426" s="3" t="s">
        <v>872</v>
      </c>
      <c r="I3426" s="3" t="s">
        <v>7043</v>
      </c>
      <c r="J3426" s="3"/>
      <c r="K3426" s="3"/>
      <c r="L3426" s="5"/>
    </row>
    <row r="3427" spans="1:12" ht="57.6" x14ac:dyDescent="0.55000000000000004">
      <c r="A3427" s="9" t="str">
        <f>HYPERLINK("PDF\FOIA-FWS-2020-00724-0003426.pdf","FOIA-FWS-2020-00724-0003426")</f>
        <v>FOIA-FWS-2020-00724-0003426</v>
      </c>
      <c r="B3427" s="3" t="s">
        <v>5370</v>
      </c>
      <c r="C3427" s="3" t="s">
        <v>3</v>
      </c>
      <c r="D3427" s="3" t="s">
        <v>33</v>
      </c>
      <c r="E3427" s="3" t="s">
        <v>5371</v>
      </c>
      <c r="F3427" s="4">
        <v>43846.537499999999</v>
      </c>
      <c r="G3427" s="3" t="s">
        <v>872</v>
      </c>
      <c r="H3427" s="3" t="s">
        <v>1003</v>
      </c>
      <c r="I3427" s="3" t="s">
        <v>7043</v>
      </c>
      <c r="J3427" s="3"/>
      <c r="K3427" s="3"/>
      <c r="L3427" s="5"/>
    </row>
    <row r="3428" spans="1:12" ht="28.8" x14ac:dyDescent="0.55000000000000004">
      <c r="A3428" s="9" t="str">
        <f>HYPERLINK("PDF\FOIA-FWS-2020-00724-0003427.pdf","FOIA-FWS-2020-00724-0003427")</f>
        <v>FOIA-FWS-2020-00724-0003427</v>
      </c>
      <c r="B3428" s="3" t="s">
        <v>5372</v>
      </c>
      <c r="C3428" s="3" t="s">
        <v>3</v>
      </c>
      <c r="D3428" s="3" t="s">
        <v>33</v>
      </c>
      <c r="E3428" s="3" t="s">
        <v>5374</v>
      </c>
      <c r="F3428" s="4">
        <v>43846.543055555558</v>
      </c>
      <c r="G3428" s="3" t="s">
        <v>872</v>
      </c>
      <c r="H3428" s="3" t="s">
        <v>5373</v>
      </c>
      <c r="I3428" s="3" t="s">
        <v>7043</v>
      </c>
      <c r="J3428" s="3"/>
      <c r="K3428" s="3"/>
      <c r="L3428" s="5"/>
    </row>
    <row r="3429" spans="1:12" ht="28.8" x14ac:dyDescent="0.55000000000000004">
      <c r="A3429" s="9" t="str">
        <f>HYPERLINK("PDF\FOIA-FWS-2020-00724-0003428.pdf","FOIA-FWS-2020-00724-0003428")</f>
        <v>FOIA-FWS-2020-00724-0003428</v>
      </c>
      <c r="B3429" s="3" t="s">
        <v>5372</v>
      </c>
      <c r="C3429" s="3" t="s">
        <v>234</v>
      </c>
      <c r="D3429" s="3" t="s">
        <v>33</v>
      </c>
      <c r="E3429" s="3" t="s">
        <v>5375</v>
      </c>
      <c r="F3429" s="4">
        <v>43846.543055555558</v>
      </c>
      <c r="G3429" s="3"/>
      <c r="H3429" s="3"/>
      <c r="I3429" s="3" t="s">
        <v>7043</v>
      </c>
      <c r="J3429" s="3"/>
      <c r="K3429" s="3"/>
      <c r="L3429" s="5"/>
    </row>
    <row r="3430" spans="1:12" ht="28.8" x14ac:dyDescent="0.55000000000000004">
      <c r="A3430" s="9" t="str">
        <f>HYPERLINK("PDF\FOIA-FWS-2020-00724-0003429.pdf","FOIA-FWS-2020-00724-0003429")</f>
        <v>FOIA-FWS-2020-00724-0003429</v>
      </c>
      <c r="B3430" s="3" t="s">
        <v>5376</v>
      </c>
      <c r="C3430" s="3" t="s">
        <v>3</v>
      </c>
      <c r="D3430" s="3" t="s">
        <v>33</v>
      </c>
      <c r="E3430" s="3" t="s">
        <v>5377</v>
      </c>
      <c r="F3430" s="4">
        <v>43846.697916666664</v>
      </c>
      <c r="G3430" s="3" t="s">
        <v>963</v>
      </c>
      <c r="H3430" s="3" t="s">
        <v>955</v>
      </c>
      <c r="I3430" s="3" t="s">
        <v>7043</v>
      </c>
      <c r="J3430" s="3"/>
      <c r="K3430" s="3"/>
      <c r="L3430" s="5"/>
    </row>
    <row r="3431" spans="1:12" ht="28.8" x14ac:dyDescent="0.55000000000000004">
      <c r="A3431" s="9" t="str">
        <f>HYPERLINK("PDF\FOIA-FWS-2020-00724-0003430.pdf","FOIA-FWS-2020-00724-0003430")</f>
        <v>FOIA-FWS-2020-00724-0003430</v>
      </c>
      <c r="B3431" s="3" t="s">
        <v>5376</v>
      </c>
      <c r="C3431" s="3" t="s">
        <v>234</v>
      </c>
      <c r="D3431" s="3" t="s">
        <v>33</v>
      </c>
      <c r="E3431" s="3" t="s">
        <v>5378</v>
      </c>
      <c r="F3431" s="4">
        <v>43846.697916666664</v>
      </c>
      <c r="G3431" s="3"/>
      <c r="H3431" s="3"/>
      <c r="I3431" s="3" t="s">
        <v>7043</v>
      </c>
      <c r="J3431" s="3"/>
      <c r="K3431" s="3"/>
      <c r="L3431" s="5"/>
    </row>
    <row r="3432" spans="1:12" ht="28.8" x14ac:dyDescent="0.55000000000000004">
      <c r="A3432" s="9" t="str">
        <f>HYPERLINK("PDF\FOIA-FWS-2020-00724-0003431.pdf","FOIA-FWS-2020-00724-0003431")</f>
        <v>FOIA-FWS-2020-00724-0003431</v>
      </c>
      <c r="B3432" s="3" t="s">
        <v>5379</v>
      </c>
      <c r="C3432" s="3" t="s">
        <v>3</v>
      </c>
      <c r="D3432" s="3" t="s">
        <v>33</v>
      </c>
      <c r="E3432" s="3" t="s">
        <v>5381</v>
      </c>
      <c r="F3432" s="4">
        <v>43846.727083333331</v>
      </c>
      <c r="G3432" s="3" t="s">
        <v>945</v>
      </c>
      <c r="H3432" s="3" t="s">
        <v>5380</v>
      </c>
      <c r="I3432" s="3" t="s">
        <v>7043</v>
      </c>
      <c r="J3432" s="3"/>
      <c r="K3432" s="3"/>
      <c r="L3432" s="5"/>
    </row>
    <row r="3433" spans="1:12" ht="28.8" x14ac:dyDescent="0.55000000000000004">
      <c r="A3433" s="9" t="str">
        <f>HYPERLINK("PDF\FOIA-FWS-2020-00724-0003432.pdf","FOIA-FWS-2020-00724-0003432")</f>
        <v>FOIA-FWS-2020-00724-0003432</v>
      </c>
      <c r="B3433" s="3" t="s">
        <v>5379</v>
      </c>
      <c r="C3433" s="3" t="s">
        <v>234</v>
      </c>
      <c r="D3433" s="3" t="s">
        <v>33</v>
      </c>
      <c r="E3433" s="3" t="s">
        <v>5378</v>
      </c>
      <c r="F3433" s="4">
        <v>43846.727083333331</v>
      </c>
      <c r="G3433" s="3"/>
      <c r="H3433" s="3"/>
      <c r="I3433" s="3" t="s">
        <v>7043</v>
      </c>
      <c r="J3433" s="3"/>
      <c r="K3433" s="3"/>
      <c r="L3433" s="5"/>
    </row>
    <row r="3434" spans="1:12" ht="28.8" x14ac:dyDescent="0.55000000000000004">
      <c r="A3434" s="9" t="str">
        <f>HYPERLINK("PDF\FOIA-FWS-2020-00724-0003433.pdf","FOIA-FWS-2020-00724-0003433")</f>
        <v>FOIA-FWS-2020-00724-0003433</v>
      </c>
      <c r="B3434" s="3" t="s">
        <v>5382</v>
      </c>
      <c r="C3434" s="3" t="s">
        <v>3</v>
      </c>
      <c r="D3434" s="3" t="s">
        <v>33</v>
      </c>
      <c r="E3434" s="3" t="s">
        <v>5383</v>
      </c>
      <c r="F3434" s="4">
        <v>43846.779861111114</v>
      </c>
      <c r="G3434" s="3" t="s">
        <v>1730</v>
      </c>
      <c r="H3434" s="3" t="s">
        <v>955</v>
      </c>
      <c r="I3434" s="3" t="s">
        <v>7043</v>
      </c>
      <c r="J3434" s="3"/>
      <c r="K3434" s="3"/>
      <c r="L3434" s="5"/>
    </row>
    <row r="3435" spans="1:12" ht="28.8" x14ac:dyDescent="0.55000000000000004">
      <c r="A3435" s="9" t="str">
        <f>HYPERLINK("PDF\FOIA-FWS-2020-00724-0003434.pdf","FOIA-FWS-2020-00724-0003434")</f>
        <v>FOIA-FWS-2020-00724-0003434</v>
      </c>
      <c r="B3435" s="3" t="s">
        <v>5384</v>
      </c>
      <c r="C3435" s="3" t="s">
        <v>3</v>
      </c>
      <c r="D3435" s="3" t="s">
        <v>33</v>
      </c>
      <c r="E3435" s="3" t="s">
        <v>5385</v>
      </c>
      <c r="F3435" s="4">
        <v>43846.784722222219</v>
      </c>
      <c r="G3435" s="3" t="s">
        <v>955</v>
      </c>
      <c r="H3435" s="3" t="s">
        <v>4448</v>
      </c>
      <c r="I3435" s="3" t="s">
        <v>7043</v>
      </c>
      <c r="J3435" s="3"/>
      <c r="K3435" s="3"/>
      <c r="L3435" s="5"/>
    </row>
    <row r="3436" spans="1:12" ht="28.8" x14ac:dyDescent="0.55000000000000004">
      <c r="A3436" s="9" t="str">
        <f>HYPERLINK("PDF\FOIA-FWS-2020-00724-0003435.pdf","FOIA-FWS-2020-00724-0003435")</f>
        <v>FOIA-FWS-2020-00724-0003435</v>
      </c>
      <c r="B3436" s="3" t="s">
        <v>5386</v>
      </c>
      <c r="C3436" s="3" t="s">
        <v>3</v>
      </c>
      <c r="D3436" s="3" t="s">
        <v>33</v>
      </c>
      <c r="E3436" s="3" t="s">
        <v>5387</v>
      </c>
      <c r="F3436" s="4">
        <v>43846.801388888889</v>
      </c>
      <c r="G3436" s="3" t="s">
        <v>955</v>
      </c>
      <c r="H3436" s="3" t="s">
        <v>872</v>
      </c>
      <c r="I3436" s="3" t="s">
        <v>7043</v>
      </c>
      <c r="J3436" s="3"/>
      <c r="K3436" s="3"/>
      <c r="L3436" s="5"/>
    </row>
    <row r="3437" spans="1:12" ht="28.8" x14ac:dyDescent="0.55000000000000004">
      <c r="A3437" s="9" t="str">
        <f>HYPERLINK("PDF\FOIA-FWS-2020-00724-0003436.pdf","FOIA-FWS-2020-00724-0003436")</f>
        <v>FOIA-FWS-2020-00724-0003436</v>
      </c>
      <c r="B3437" s="3" t="s">
        <v>5388</v>
      </c>
      <c r="C3437" s="3" t="s">
        <v>3</v>
      </c>
      <c r="D3437" s="3" t="s">
        <v>33</v>
      </c>
      <c r="E3437" s="3" t="s">
        <v>5389</v>
      </c>
      <c r="F3437" s="4">
        <v>43846.852083333331</v>
      </c>
      <c r="G3437" s="3" t="s">
        <v>872</v>
      </c>
      <c r="H3437" s="3" t="s">
        <v>955</v>
      </c>
      <c r="I3437" s="3" t="s">
        <v>7043</v>
      </c>
      <c r="J3437" s="3"/>
      <c r="K3437" s="3"/>
      <c r="L3437" s="5"/>
    </row>
    <row r="3438" spans="1:12" ht="28.8" x14ac:dyDescent="0.55000000000000004">
      <c r="A3438" s="9" t="str">
        <f>HYPERLINK("PDF\FOIA-FWS-2020-00724-0003437.pdf","FOIA-FWS-2020-00724-0003437")</f>
        <v>FOIA-FWS-2020-00724-0003437</v>
      </c>
      <c r="B3438" s="3" t="s">
        <v>5388</v>
      </c>
      <c r="C3438" s="3" t="s">
        <v>234</v>
      </c>
      <c r="D3438" s="3" t="s">
        <v>33</v>
      </c>
      <c r="E3438" s="3" t="s">
        <v>5390</v>
      </c>
      <c r="F3438" s="4">
        <v>43846.852083333331</v>
      </c>
      <c r="G3438" s="3"/>
      <c r="H3438" s="3"/>
      <c r="I3438" s="3" t="s">
        <v>7043</v>
      </c>
      <c r="J3438" s="3"/>
      <c r="K3438" s="3"/>
      <c r="L3438" s="5"/>
    </row>
    <row r="3439" spans="1:12" ht="28.8" x14ac:dyDescent="0.55000000000000004">
      <c r="A3439" s="9" t="str">
        <f>HYPERLINK("PDF\FOIA-FWS-2020-00724-0003438.pdf","FOIA-FWS-2020-00724-0003438")</f>
        <v>FOIA-FWS-2020-00724-0003438</v>
      </c>
      <c r="B3439" s="3" t="s">
        <v>5391</v>
      </c>
      <c r="C3439" s="3" t="s">
        <v>3</v>
      </c>
      <c r="D3439" s="3" t="s">
        <v>33</v>
      </c>
      <c r="E3439" s="3" t="s">
        <v>5392</v>
      </c>
      <c r="F3439" s="4">
        <v>43847</v>
      </c>
      <c r="G3439" s="3"/>
      <c r="H3439" s="3"/>
      <c r="I3439" s="3" t="s">
        <v>7043</v>
      </c>
      <c r="J3439" s="3"/>
      <c r="K3439" s="3"/>
      <c r="L3439" s="5"/>
    </row>
    <row r="3440" spans="1:12" ht="28.8" x14ac:dyDescent="0.55000000000000004">
      <c r="A3440" s="9" t="str">
        <f>HYPERLINK("PDF\FOIA-FWS-2020-00724-0003439.pdf","FOIA-FWS-2020-00724-0003439")</f>
        <v>FOIA-FWS-2020-00724-0003439</v>
      </c>
      <c r="B3440" s="3" t="s">
        <v>5393</v>
      </c>
      <c r="C3440" s="3" t="s">
        <v>3</v>
      </c>
      <c r="D3440" s="3" t="s">
        <v>33</v>
      </c>
      <c r="E3440" s="3" t="s">
        <v>5395</v>
      </c>
      <c r="F3440" s="4">
        <v>43847.486111111109</v>
      </c>
      <c r="G3440" s="3" t="s">
        <v>919</v>
      </c>
      <c r="H3440" s="3" t="s">
        <v>5394</v>
      </c>
      <c r="I3440" s="3" t="s">
        <v>7043</v>
      </c>
      <c r="J3440" s="3"/>
      <c r="K3440" s="3"/>
      <c r="L3440" s="5"/>
    </row>
    <row r="3441" spans="1:12" ht="28.8" x14ac:dyDescent="0.55000000000000004">
      <c r="A3441" s="9" t="str">
        <f>HYPERLINK("PDF\FOIA-FWS-2020-00724-0003440.pdf","FOIA-FWS-2020-00724-0003440")</f>
        <v>FOIA-FWS-2020-00724-0003440</v>
      </c>
      <c r="B3441" s="3" t="s">
        <v>5393</v>
      </c>
      <c r="C3441" s="3" t="s">
        <v>234</v>
      </c>
      <c r="D3441" s="3" t="s">
        <v>33</v>
      </c>
      <c r="E3441" s="3" t="s">
        <v>5378</v>
      </c>
      <c r="F3441" s="4">
        <v>43847.486111111109</v>
      </c>
      <c r="G3441" s="3"/>
      <c r="H3441" s="3"/>
      <c r="I3441" s="3" t="s">
        <v>7043</v>
      </c>
      <c r="J3441" s="3"/>
      <c r="K3441" s="3"/>
      <c r="L3441" s="5"/>
    </row>
    <row r="3442" spans="1:12" ht="28.8" x14ac:dyDescent="0.55000000000000004">
      <c r="A3442" s="9" t="str">
        <f>HYPERLINK("PDF\FOIA-FWS-2020-00724-0003441.pdf","FOIA-FWS-2020-00724-0003441")</f>
        <v>FOIA-FWS-2020-00724-0003441</v>
      </c>
      <c r="B3442" s="3" t="s">
        <v>5396</v>
      </c>
      <c r="C3442" s="3" t="s">
        <v>3</v>
      </c>
      <c r="D3442" s="3" t="s">
        <v>33</v>
      </c>
      <c r="E3442" s="3" t="s">
        <v>5397</v>
      </c>
      <c r="F3442" s="4">
        <v>43847.606944444444</v>
      </c>
      <c r="G3442" s="3" t="s">
        <v>872</v>
      </c>
      <c r="H3442" s="3" t="s">
        <v>2773</v>
      </c>
      <c r="I3442" s="3" t="s">
        <v>7043</v>
      </c>
      <c r="J3442" s="3"/>
      <c r="K3442" s="3"/>
      <c r="L3442" s="5"/>
    </row>
    <row r="3443" spans="1:12" ht="28.8" x14ac:dyDescent="0.55000000000000004">
      <c r="A3443" s="9" t="str">
        <f>HYPERLINK("PDF\FOIA-FWS-2020-00724-0003442.pdf","FOIA-FWS-2020-00724-0003442")</f>
        <v>FOIA-FWS-2020-00724-0003442</v>
      </c>
      <c r="B3443" s="3" t="s">
        <v>5396</v>
      </c>
      <c r="C3443" s="3" t="s">
        <v>234</v>
      </c>
      <c r="D3443" s="3" t="s">
        <v>33</v>
      </c>
      <c r="E3443" s="3" t="s">
        <v>5398</v>
      </c>
      <c r="F3443" s="4">
        <v>43847.606944444444</v>
      </c>
      <c r="G3443" s="3"/>
      <c r="H3443" s="3"/>
      <c r="I3443" s="3" t="s">
        <v>7043</v>
      </c>
      <c r="J3443" s="3"/>
      <c r="K3443" s="3"/>
      <c r="L3443" s="5"/>
    </row>
    <row r="3444" spans="1:12" ht="43.2" x14ac:dyDescent="0.55000000000000004">
      <c r="A3444" s="9" t="str">
        <f>HYPERLINK("PDF\FOIA-FWS-2020-00724-0003443.pdf","FOIA-FWS-2020-00724-0003443")</f>
        <v>FOIA-FWS-2020-00724-0003443</v>
      </c>
      <c r="B3444" s="3" t="s">
        <v>5399</v>
      </c>
      <c r="C3444" s="3" t="s">
        <v>3</v>
      </c>
      <c r="D3444" s="3" t="s">
        <v>33</v>
      </c>
      <c r="E3444" s="3" t="s">
        <v>5400</v>
      </c>
      <c r="F3444" s="4">
        <v>43847.810416666667</v>
      </c>
      <c r="G3444" s="3" t="s">
        <v>1034</v>
      </c>
      <c r="H3444" s="3" t="s">
        <v>872</v>
      </c>
      <c r="I3444" s="3" t="s">
        <v>864</v>
      </c>
      <c r="J3444" s="3" t="s">
        <v>7046</v>
      </c>
      <c r="K3444" s="3" t="s">
        <v>7036</v>
      </c>
      <c r="L3444" s="5"/>
    </row>
    <row r="3445" spans="1:12" ht="43.2" x14ac:dyDescent="0.55000000000000004">
      <c r="A3445" s="9" t="str">
        <f>HYPERLINK("PDF\FOIA-FWS-2020-00724-0003444.pdf","FOIA-FWS-2020-00724-0003444")</f>
        <v>FOIA-FWS-2020-00724-0003444</v>
      </c>
      <c r="B3445" s="3" t="s">
        <v>5401</v>
      </c>
      <c r="C3445" s="3" t="s">
        <v>3</v>
      </c>
      <c r="D3445" s="3" t="s">
        <v>33</v>
      </c>
      <c r="E3445" s="3" t="s">
        <v>5403</v>
      </c>
      <c r="F3445" s="4">
        <v>43851.53402777778</v>
      </c>
      <c r="G3445" s="3" t="s">
        <v>963</v>
      </c>
      <c r="H3445" s="3" t="s">
        <v>5402</v>
      </c>
      <c r="I3445" s="3" t="s">
        <v>7043</v>
      </c>
      <c r="J3445" s="3"/>
      <c r="K3445" s="3"/>
      <c r="L3445" s="5"/>
    </row>
    <row r="3446" spans="1:12" ht="28.8" x14ac:dyDescent="0.55000000000000004">
      <c r="A3446" s="9" t="str">
        <f>HYPERLINK("PDF\FOIA-FWS-2020-00724-0003445.pdf","FOIA-FWS-2020-00724-0003445")</f>
        <v>FOIA-FWS-2020-00724-0003445</v>
      </c>
      <c r="B3446" s="3" t="s">
        <v>5401</v>
      </c>
      <c r="C3446" s="3" t="s">
        <v>234</v>
      </c>
      <c r="D3446" s="3" t="s">
        <v>33</v>
      </c>
      <c r="E3446" s="3" t="s">
        <v>5378</v>
      </c>
      <c r="F3446" s="4">
        <v>43851.53402777778</v>
      </c>
      <c r="G3446" s="3"/>
      <c r="H3446" s="3"/>
      <c r="I3446" s="3" t="s">
        <v>7043</v>
      </c>
      <c r="J3446" s="3"/>
      <c r="K3446" s="3"/>
      <c r="L3446" s="5"/>
    </row>
    <row r="3447" spans="1:12" ht="28.8" x14ac:dyDescent="0.55000000000000004">
      <c r="A3447" s="9" t="str">
        <f>HYPERLINK("PDF\FOIA-FWS-2020-00724-0003446.pdf","FOIA-FWS-2020-00724-0003446")</f>
        <v>FOIA-FWS-2020-00724-0003446</v>
      </c>
      <c r="B3447" s="3" t="s">
        <v>5404</v>
      </c>
      <c r="C3447" s="3" t="s">
        <v>3</v>
      </c>
      <c r="D3447" s="3" t="s">
        <v>33</v>
      </c>
      <c r="E3447" s="3" t="s">
        <v>5406</v>
      </c>
      <c r="F3447" s="4">
        <v>43851.53402777778</v>
      </c>
      <c r="G3447" s="3" t="s">
        <v>955</v>
      </c>
      <c r="H3447" s="3" t="s">
        <v>5405</v>
      </c>
      <c r="I3447" s="3" t="s">
        <v>7043</v>
      </c>
      <c r="J3447" s="3"/>
      <c r="K3447" s="3"/>
      <c r="L3447" s="5"/>
    </row>
    <row r="3448" spans="1:12" ht="28.8" x14ac:dyDescent="0.55000000000000004">
      <c r="A3448" s="9" t="str">
        <f>HYPERLINK("PDF\FOIA-FWS-2020-00724-0003447.pdf","FOIA-FWS-2020-00724-0003447")</f>
        <v>FOIA-FWS-2020-00724-0003447</v>
      </c>
      <c r="B3448" s="3" t="s">
        <v>5407</v>
      </c>
      <c r="C3448" s="3" t="s">
        <v>3</v>
      </c>
      <c r="D3448" s="3" t="s">
        <v>33</v>
      </c>
      <c r="E3448" s="3" t="s">
        <v>5409</v>
      </c>
      <c r="F3448" s="4">
        <v>43851.633333333331</v>
      </c>
      <c r="G3448" s="3" t="s">
        <v>1772</v>
      </c>
      <c r="H3448" s="3" t="s">
        <v>5408</v>
      </c>
      <c r="I3448" s="3" t="s">
        <v>7043</v>
      </c>
      <c r="J3448" s="3"/>
      <c r="K3448" s="3"/>
      <c r="L3448" s="5"/>
    </row>
    <row r="3449" spans="1:12" ht="28.8" x14ac:dyDescent="0.55000000000000004">
      <c r="A3449" s="9" t="str">
        <f>HYPERLINK("PDF\FOIA-FWS-2020-00724-0003448.pdf","FOIA-FWS-2020-00724-0003448")</f>
        <v>FOIA-FWS-2020-00724-0003448</v>
      </c>
      <c r="B3449" s="3" t="s">
        <v>5407</v>
      </c>
      <c r="C3449" s="3" t="s">
        <v>234</v>
      </c>
      <c r="D3449" s="3" t="s">
        <v>33</v>
      </c>
      <c r="E3449" s="3" t="s">
        <v>5410</v>
      </c>
      <c r="F3449" s="4">
        <v>43851.633333333331</v>
      </c>
      <c r="G3449" s="3"/>
      <c r="H3449" s="3"/>
      <c r="I3449" s="3" t="s">
        <v>7043</v>
      </c>
      <c r="J3449" s="3"/>
      <c r="K3449" s="3"/>
      <c r="L3449" s="5"/>
    </row>
    <row r="3450" spans="1:12" ht="43.2" x14ac:dyDescent="0.55000000000000004">
      <c r="A3450" s="9" t="str">
        <f>HYPERLINK("PDF\FOIA-FWS-2020-00724-0003449.pdf","FOIA-FWS-2020-00724-0003449")</f>
        <v>FOIA-FWS-2020-00724-0003449</v>
      </c>
      <c r="B3450" s="3" t="s">
        <v>5411</v>
      </c>
      <c r="C3450" s="3" t="s">
        <v>3</v>
      </c>
      <c r="D3450" s="3" t="s">
        <v>33</v>
      </c>
      <c r="E3450" s="3" t="s">
        <v>5413</v>
      </c>
      <c r="F3450" s="4">
        <v>43851.67083333333</v>
      </c>
      <c r="G3450" s="3" t="s">
        <v>919</v>
      </c>
      <c r="H3450" s="3" t="s">
        <v>5412</v>
      </c>
      <c r="I3450" s="3" t="s">
        <v>7043</v>
      </c>
      <c r="J3450" s="3"/>
      <c r="K3450" s="3"/>
      <c r="L3450" s="5"/>
    </row>
    <row r="3451" spans="1:12" ht="28.8" x14ac:dyDescent="0.55000000000000004">
      <c r="A3451" s="9" t="str">
        <f>HYPERLINK("PDF\FOIA-FWS-2020-00724-0003450.pdf","FOIA-FWS-2020-00724-0003450")</f>
        <v>FOIA-FWS-2020-00724-0003450</v>
      </c>
      <c r="B3451" s="3" t="s">
        <v>5411</v>
      </c>
      <c r="C3451" s="3" t="s">
        <v>234</v>
      </c>
      <c r="D3451" s="3" t="s">
        <v>33</v>
      </c>
      <c r="E3451" s="3" t="s">
        <v>5414</v>
      </c>
      <c r="F3451" s="4">
        <v>43851.67083333333</v>
      </c>
      <c r="G3451" s="3"/>
      <c r="H3451" s="3"/>
      <c r="I3451" s="3" t="s">
        <v>7043</v>
      </c>
      <c r="J3451" s="3"/>
      <c r="K3451" s="3"/>
      <c r="L3451" s="5"/>
    </row>
    <row r="3452" spans="1:12" ht="28.8" x14ac:dyDescent="0.55000000000000004">
      <c r="A3452" s="9" t="str">
        <f>HYPERLINK("PDF\FOIA-FWS-2020-00724-0003451.pdf","FOIA-FWS-2020-00724-0003451")</f>
        <v>FOIA-FWS-2020-00724-0003451</v>
      </c>
      <c r="B3452" s="3" t="s">
        <v>5415</v>
      </c>
      <c r="C3452" s="3" t="s">
        <v>3</v>
      </c>
      <c r="D3452" s="3" t="s">
        <v>33</v>
      </c>
      <c r="E3452" s="3" t="s">
        <v>5417</v>
      </c>
      <c r="F3452" s="4">
        <v>43851.708333333336</v>
      </c>
      <c r="G3452" s="3" t="s">
        <v>1730</v>
      </c>
      <c r="H3452" s="3" t="s">
        <v>5416</v>
      </c>
      <c r="I3452" s="3" t="s">
        <v>7043</v>
      </c>
      <c r="J3452" s="3"/>
      <c r="K3452" s="3"/>
      <c r="L3452" s="5"/>
    </row>
    <row r="3453" spans="1:12" ht="28.8" x14ac:dyDescent="0.55000000000000004">
      <c r="A3453" s="9" t="str">
        <f>HYPERLINK("PDF\FOIA-FWS-2020-00724-0003452.pdf","FOIA-FWS-2020-00724-0003452")</f>
        <v>FOIA-FWS-2020-00724-0003452</v>
      </c>
      <c r="B3453" s="3" t="s">
        <v>5418</v>
      </c>
      <c r="C3453" s="3" t="s">
        <v>3</v>
      </c>
      <c r="D3453" s="3" t="s">
        <v>33</v>
      </c>
      <c r="E3453" s="3" t="s">
        <v>5419</v>
      </c>
      <c r="F3453" s="4">
        <v>43851.743055555555</v>
      </c>
      <c r="G3453" s="3" t="s">
        <v>1719</v>
      </c>
      <c r="H3453" s="3" t="s">
        <v>945</v>
      </c>
      <c r="I3453" s="3" t="s">
        <v>7043</v>
      </c>
      <c r="J3453" s="3"/>
      <c r="K3453" s="3"/>
      <c r="L3453" s="5"/>
    </row>
    <row r="3454" spans="1:12" ht="28.8" x14ac:dyDescent="0.55000000000000004">
      <c r="A3454" s="9" t="str">
        <f>HYPERLINK("PDF\FOIA-FWS-2020-00724-0003453.pdf","FOIA-FWS-2020-00724-0003453")</f>
        <v>FOIA-FWS-2020-00724-0003453</v>
      </c>
      <c r="B3454" s="3" t="s">
        <v>5420</v>
      </c>
      <c r="C3454" s="3" t="s">
        <v>3</v>
      </c>
      <c r="D3454" s="3" t="s">
        <v>33</v>
      </c>
      <c r="E3454" s="3" t="s">
        <v>5421</v>
      </c>
      <c r="F3454" s="4">
        <v>43851.754166666666</v>
      </c>
      <c r="G3454" s="3" t="s">
        <v>872</v>
      </c>
      <c r="H3454" s="3" t="s">
        <v>3123</v>
      </c>
      <c r="I3454" s="3" t="s">
        <v>7043</v>
      </c>
      <c r="J3454" s="3"/>
      <c r="K3454" s="3"/>
      <c r="L3454" s="5"/>
    </row>
    <row r="3455" spans="1:12" ht="28.8" x14ac:dyDescent="0.55000000000000004">
      <c r="A3455" s="9" t="str">
        <f>HYPERLINK("PDF\FOIA-FWS-2020-00724-0003454.pdf","FOIA-FWS-2020-00724-0003454")</f>
        <v>FOIA-FWS-2020-00724-0003454</v>
      </c>
      <c r="B3455" s="3" t="s">
        <v>5420</v>
      </c>
      <c r="C3455" s="3" t="s">
        <v>234</v>
      </c>
      <c r="D3455" s="3" t="s">
        <v>33</v>
      </c>
      <c r="E3455" s="3" t="s">
        <v>5378</v>
      </c>
      <c r="F3455" s="4">
        <v>43851.754166666666</v>
      </c>
      <c r="G3455" s="3"/>
      <c r="H3455" s="3"/>
      <c r="I3455" s="3" t="s">
        <v>7043</v>
      </c>
      <c r="J3455" s="3"/>
      <c r="K3455" s="3"/>
      <c r="L3455" s="5"/>
    </row>
    <row r="3456" spans="1:12" ht="43.2" x14ac:dyDescent="0.55000000000000004">
      <c r="A3456" s="9" t="str">
        <f>HYPERLINK("PDF\FOIA-FWS-2020-00724-0003455.pdf","FOIA-FWS-2020-00724-0003455")</f>
        <v>FOIA-FWS-2020-00724-0003455</v>
      </c>
      <c r="B3456" s="3" t="s">
        <v>5422</v>
      </c>
      <c r="C3456" s="3" t="s">
        <v>3</v>
      </c>
      <c r="D3456" s="3" t="s">
        <v>33</v>
      </c>
      <c r="E3456" s="3" t="s">
        <v>5424</v>
      </c>
      <c r="F3456" s="4">
        <v>43851.832638888889</v>
      </c>
      <c r="G3456" s="3" t="s">
        <v>872</v>
      </c>
      <c r="H3456" s="3" t="s">
        <v>5423</v>
      </c>
      <c r="I3456" s="3" t="s">
        <v>7043</v>
      </c>
      <c r="J3456" s="3"/>
      <c r="K3456" s="3"/>
      <c r="L3456" s="5"/>
    </row>
    <row r="3457" spans="1:12" ht="28.8" x14ac:dyDescent="0.55000000000000004">
      <c r="A3457" s="9" t="str">
        <f>HYPERLINK("PDF\FOIA-FWS-2020-00724-0003456.pdf","FOIA-FWS-2020-00724-0003456")</f>
        <v>FOIA-FWS-2020-00724-0003456</v>
      </c>
      <c r="B3457" s="3" t="s">
        <v>5422</v>
      </c>
      <c r="C3457" s="3" t="s">
        <v>234</v>
      </c>
      <c r="D3457" s="3" t="s">
        <v>33</v>
      </c>
      <c r="E3457" s="3" t="s">
        <v>5425</v>
      </c>
      <c r="F3457" s="4">
        <v>43851.832638888889</v>
      </c>
      <c r="G3457" s="3"/>
      <c r="H3457" s="3"/>
      <c r="I3457" s="3" t="s">
        <v>7043</v>
      </c>
      <c r="J3457" s="3"/>
      <c r="K3457" s="3"/>
      <c r="L3457" s="5"/>
    </row>
    <row r="3458" spans="1:12" ht="28.8" x14ac:dyDescent="0.55000000000000004">
      <c r="A3458" s="9" t="str">
        <f>HYPERLINK("PDF\FOIA-FWS-2020-00724-0003457.pdf","FOIA-FWS-2020-00724-0003457")</f>
        <v>FOIA-FWS-2020-00724-0003457</v>
      </c>
      <c r="B3458" s="3" t="s">
        <v>5426</v>
      </c>
      <c r="C3458" s="3" t="s">
        <v>3</v>
      </c>
      <c r="D3458" s="3" t="s">
        <v>33</v>
      </c>
      <c r="E3458" s="3" t="s">
        <v>5427</v>
      </c>
      <c r="F3458" s="4">
        <v>43852</v>
      </c>
      <c r="G3458" s="3"/>
      <c r="H3458" s="3"/>
      <c r="I3458" s="3" t="s">
        <v>7043</v>
      </c>
      <c r="J3458" s="3"/>
      <c r="K3458" s="3"/>
      <c r="L3458" s="5"/>
    </row>
    <row r="3459" spans="1:12" ht="28.8" x14ac:dyDescent="0.55000000000000004">
      <c r="A3459" s="9" t="str">
        <f>HYPERLINK("PDF\FOIA-FWS-2020-00724-0003458.pdf","FOIA-FWS-2020-00724-0003458")</f>
        <v>FOIA-FWS-2020-00724-0003458</v>
      </c>
      <c r="B3459" s="3" t="s">
        <v>5428</v>
      </c>
      <c r="C3459" s="3" t="s">
        <v>3</v>
      </c>
      <c r="D3459" s="3" t="s">
        <v>33</v>
      </c>
      <c r="E3459" s="3" t="s">
        <v>5429</v>
      </c>
      <c r="F3459" s="4">
        <v>43852</v>
      </c>
      <c r="G3459" s="3"/>
      <c r="H3459" s="3"/>
      <c r="I3459" s="3" t="s">
        <v>7043</v>
      </c>
      <c r="J3459" s="3"/>
      <c r="K3459" s="3"/>
      <c r="L3459" s="5"/>
    </row>
    <row r="3460" spans="1:12" ht="28.8" x14ac:dyDescent="0.55000000000000004">
      <c r="A3460" s="9" t="str">
        <f>HYPERLINK("PDF\FOIA-FWS-2020-00724-0003459.pdf","FOIA-FWS-2020-00724-0003459")</f>
        <v>FOIA-FWS-2020-00724-0003459</v>
      </c>
      <c r="B3460" s="3" t="s">
        <v>5430</v>
      </c>
      <c r="C3460" s="3" t="s">
        <v>3</v>
      </c>
      <c r="D3460" s="3" t="s">
        <v>33</v>
      </c>
      <c r="E3460" s="3" t="s">
        <v>5431</v>
      </c>
      <c r="F3460" s="4">
        <v>43852</v>
      </c>
      <c r="G3460" s="3"/>
      <c r="H3460" s="3"/>
      <c r="I3460" s="3" t="s">
        <v>7043</v>
      </c>
      <c r="J3460" s="3"/>
      <c r="K3460" s="3"/>
      <c r="L3460" s="5"/>
    </row>
    <row r="3461" spans="1:12" ht="28.8" x14ac:dyDescent="0.55000000000000004">
      <c r="A3461" s="9" t="str">
        <f>HYPERLINK("PDF\FOIA-FWS-2020-00724-0003460.pdf","FOIA-FWS-2020-00724-0003460")</f>
        <v>FOIA-FWS-2020-00724-0003460</v>
      </c>
      <c r="B3461" s="3" t="s">
        <v>5432</v>
      </c>
      <c r="C3461" s="3" t="s">
        <v>3</v>
      </c>
      <c r="D3461" s="3" t="s">
        <v>33</v>
      </c>
      <c r="E3461" s="3" t="s">
        <v>5433</v>
      </c>
      <c r="F3461" s="4">
        <v>43852.46597222222</v>
      </c>
      <c r="G3461" s="3" t="s">
        <v>963</v>
      </c>
      <c r="H3461" s="3" t="s">
        <v>861</v>
      </c>
      <c r="I3461" s="3" t="s">
        <v>7043</v>
      </c>
      <c r="J3461" s="3"/>
      <c r="K3461" s="3"/>
      <c r="L3461" s="5"/>
    </row>
    <row r="3462" spans="1:12" ht="43.2" x14ac:dyDescent="0.55000000000000004">
      <c r="A3462" s="9" t="str">
        <f>HYPERLINK("PDF\FOIA-FWS-2020-00724-0003461.pdf","FOIA-FWS-2020-00724-0003461")</f>
        <v>FOIA-FWS-2020-00724-0003461</v>
      </c>
      <c r="B3462" s="3" t="s">
        <v>5434</v>
      </c>
      <c r="C3462" s="3" t="s">
        <v>3</v>
      </c>
      <c r="D3462" s="3" t="s">
        <v>33</v>
      </c>
      <c r="E3462" s="3" t="s">
        <v>5436</v>
      </c>
      <c r="F3462" s="4">
        <v>43852.543749999997</v>
      </c>
      <c r="G3462" s="3" t="s">
        <v>872</v>
      </c>
      <c r="H3462" s="3" t="s">
        <v>5435</v>
      </c>
      <c r="I3462" s="3" t="s">
        <v>7043</v>
      </c>
      <c r="J3462" s="3"/>
      <c r="K3462" s="3"/>
      <c r="L3462" s="5"/>
    </row>
    <row r="3463" spans="1:12" ht="28.8" x14ac:dyDescent="0.55000000000000004">
      <c r="A3463" s="9" t="str">
        <f>HYPERLINK("PDF\FOIA-FWS-2020-00724-0003462.pdf","FOIA-FWS-2020-00724-0003462")</f>
        <v>FOIA-FWS-2020-00724-0003462</v>
      </c>
      <c r="B3463" s="3" t="s">
        <v>5434</v>
      </c>
      <c r="C3463" s="3" t="s">
        <v>234</v>
      </c>
      <c r="D3463" s="3" t="s">
        <v>33</v>
      </c>
      <c r="E3463" s="3" t="s">
        <v>5425</v>
      </c>
      <c r="F3463" s="4">
        <v>43852.543749999997</v>
      </c>
      <c r="G3463" s="3"/>
      <c r="H3463" s="3"/>
      <c r="I3463" s="3" t="s">
        <v>7043</v>
      </c>
      <c r="J3463" s="3"/>
      <c r="K3463" s="3"/>
      <c r="L3463" s="5"/>
    </row>
    <row r="3464" spans="1:12" ht="28.8" x14ac:dyDescent="0.55000000000000004">
      <c r="A3464" s="9" t="str">
        <f>HYPERLINK("PDF\FOIA-FWS-2020-00724-0003463.pdf","FOIA-FWS-2020-00724-0003463")</f>
        <v>FOIA-FWS-2020-00724-0003463</v>
      </c>
      <c r="B3464" s="3" t="s">
        <v>5437</v>
      </c>
      <c r="C3464" s="3" t="s">
        <v>3</v>
      </c>
      <c r="D3464" s="3" t="s">
        <v>33</v>
      </c>
      <c r="E3464" s="3" t="s">
        <v>5438</v>
      </c>
      <c r="F3464" s="4">
        <v>43852.71875</v>
      </c>
      <c r="G3464" s="3" t="s">
        <v>1392</v>
      </c>
      <c r="H3464" s="3" t="s">
        <v>963</v>
      </c>
      <c r="I3464" s="3" t="s">
        <v>7043</v>
      </c>
      <c r="J3464" s="3"/>
      <c r="K3464" s="3"/>
      <c r="L3464" s="5"/>
    </row>
    <row r="3465" spans="1:12" ht="28.8" x14ac:dyDescent="0.55000000000000004">
      <c r="A3465" s="9" t="str">
        <f>HYPERLINK("PDF\FOIA-FWS-2020-00724-0003464.pdf","FOIA-FWS-2020-00724-0003464")</f>
        <v>FOIA-FWS-2020-00724-0003464</v>
      </c>
      <c r="B3465" s="3" t="s">
        <v>5439</v>
      </c>
      <c r="C3465" s="3" t="s">
        <v>3</v>
      </c>
      <c r="D3465" s="3" t="s">
        <v>33</v>
      </c>
      <c r="E3465" s="3" t="s">
        <v>5438</v>
      </c>
      <c r="F3465" s="4">
        <v>43852.738194444442</v>
      </c>
      <c r="G3465" s="3" t="s">
        <v>955</v>
      </c>
      <c r="H3465" s="3" t="s">
        <v>1392</v>
      </c>
      <c r="I3465" s="3" t="s">
        <v>7043</v>
      </c>
      <c r="J3465" s="3"/>
      <c r="K3465" s="3"/>
      <c r="L3465" s="5"/>
    </row>
    <row r="3466" spans="1:12" ht="28.8" x14ac:dyDescent="0.55000000000000004">
      <c r="A3466" s="9" t="str">
        <f>HYPERLINK("PDF\FOIA-FWS-2020-00724-0003465.pdf","FOIA-FWS-2020-00724-0003465")</f>
        <v>FOIA-FWS-2020-00724-0003465</v>
      </c>
      <c r="B3466" s="3" t="s">
        <v>5439</v>
      </c>
      <c r="C3466" s="3" t="s">
        <v>234</v>
      </c>
      <c r="D3466" s="3" t="s">
        <v>33</v>
      </c>
      <c r="E3466" s="3" t="s">
        <v>5440</v>
      </c>
      <c r="F3466" s="4">
        <v>43852.738194444442</v>
      </c>
      <c r="G3466" s="3"/>
      <c r="H3466" s="3"/>
      <c r="I3466" s="3" t="s">
        <v>7043</v>
      </c>
      <c r="J3466" s="3"/>
      <c r="K3466" s="3"/>
      <c r="L3466" s="5"/>
    </row>
    <row r="3467" spans="1:12" ht="28.8" x14ac:dyDescent="0.55000000000000004">
      <c r="A3467" s="9" t="str">
        <f>HYPERLINK("PDF\FOIA-FWS-2020-00724-0003466.pdf","FOIA-FWS-2020-00724-0003466")</f>
        <v>FOIA-FWS-2020-00724-0003466</v>
      </c>
      <c r="B3467" s="3" t="s">
        <v>5441</v>
      </c>
      <c r="C3467" s="3" t="s">
        <v>3</v>
      </c>
      <c r="D3467" s="3" t="s">
        <v>33</v>
      </c>
      <c r="E3467" s="3" t="s">
        <v>5442</v>
      </c>
      <c r="F3467" s="4">
        <v>43852.738888888889</v>
      </c>
      <c r="G3467" s="3" t="s">
        <v>955</v>
      </c>
      <c r="H3467" s="3" t="s">
        <v>872</v>
      </c>
      <c r="I3467" s="3" t="s">
        <v>7043</v>
      </c>
      <c r="J3467" s="3"/>
      <c r="K3467" s="3"/>
      <c r="L3467" s="5"/>
    </row>
    <row r="3468" spans="1:12" ht="28.8" x14ac:dyDescent="0.55000000000000004">
      <c r="A3468" s="9" t="str">
        <f>HYPERLINK("PDF\FOIA-FWS-2020-00724-0003467.pdf","FOIA-FWS-2020-00724-0003467")</f>
        <v>FOIA-FWS-2020-00724-0003467</v>
      </c>
      <c r="B3468" s="3" t="s">
        <v>5441</v>
      </c>
      <c r="C3468" s="3" t="s">
        <v>234</v>
      </c>
      <c r="D3468" s="3" t="s">
        <v>33</v>
      </c>
      <c r="E3468" s="3" t="s">
        <v>5443</v>
      </c>
      <c r="F3468" s="4">
        <v>43852.738888888889</v>
      </c>
      <c r="G3468" s="3"/>
      <c r="H3468" s="3"/>
      <c r="I3468" s="3" t="s">
        <v>7043</v>
      </c>
      <c r="J3468" s="3"/>
      <c r="K3468" s="3"/>
      <c r="L3468" s="5" t="str">
        <f>HYPERLINK("NATIVE_FILES\FOIA-FWS-2020-00724-0003467.xlsx","FOIA-FWS-2020-00724-0003467.xlsx")</f>
        <v>FOIA-FWS-2020-00724-0003467.xlsx</v>
      </c>
    </row>
    <row r="3469" spans="1:12" ht="28.8" x14ac:dyDescent="0.55000000000000004">
      <c r="A3469" s="9" t="str">
        <f>HYPERLINK("PDF\FOIA-FWS-2020-00724-0003468.pdf","FOIA-FWS-2020-00724-0003468")</f>
        <v>FOIA-FWS-2020-00724-0003468</v>
      </c>
      <c r="B3469" s="3" t="s">
        <v>5444</v>
      </c>
      <c r="C3469" s="3" t="s">
        <v>3</v>
      </c>
      <c r="D3469" s="3" t="s">
        <v>33</v>
      </c>
      <c r="E3469" s="3" t="s">
        <v>5445</v>
      </c>
      <c r="F3469" s="4">
        <v>43852.740277777775</v>
      </c>
      <c r="G3469" s="3" t="s">
        <v>955</v>
      </c>
      <c r="H3469" s="3" t="s">
        <v>861</v>
      </c>
      <c r="I3469" s="3" t="s">
        <v>7043</v>
      </c>
      <c r="J3469" s="3"/>
      <c r="K3469" s="3"/>
      <c r="L3469" s="5"/>
    </row>
    <row r="3470" spans="1:12" ht="28.8" x14ac:dyDescent="0.55000000000000004">
      <c r="A3470" s="9" t="str">
        <f>HYPERLINK("PDF\FOIA-FWS-2020-00724-0003469.pdf","FOIA-FWS-2020-00724-0003469")</f>
        <v>FOIA-FWS-2020-00724-0003469</v>
      </c>
      <c r="B3470" s="3" t="s">
        <v>5444</v>
      </c>
      <c r="C3470" s="3" t="s">
        <v>234</v>
      </c>
      <c r="D3470" s="3" t="s">
        <v>33</v>
      </c>
      <c r="E3470" s="3" t="s">
        <v>5440</v>
      </c>
      <c r="F3470" s="4">
        <v>43852.740277777775</v>
      </c>
      <c r="G3470" s="3"/>
      <c r="H3470" s="3"/>
      <c r="I3470" s="3" t="s">
        <v>7043</v>
      </c>
      <c r="J3470" s="3"/>
      <c r="K3470" s="3"/>
      <c r="L3470" s="5"/>
    </row>
    <row r="3471" spans="1:12" ht="28.8" x14ac:dyDescent="0.55000000000000004">
      <c r="A3471" s="9" t="str">
        <f>HYPERLINK("PDF\FOIA-FWS-2020-00724-0003470.pdf","FOIA-FWS-2020-00724-0003470")</f>
        <v>FOIA-FWS-2020-00724-0003470</v>
      </c>
      <c r="B3471" s="3" t="s">
        <v>5446</v>
      </c>
      <c r="C3471" s="3" t="s">
        <v>3</v>
      </c>
      <c r="D3471" s="3" t="s">
        <v>33</v>
      </c>
      <c r="E3471" s="3" t="s">
        <v>5438</v>
      </c>
      <c r="F3471" s="4">
        <v>43852.750694444447</v>
      </c>
      <c r="G3471" s="3" t="s">
        <v>955</v>
      </c>
      <c r="H3471" s="3" t="s">
        <v>1392</v>
      </c>
      <c r="I3471" s="3" t="s">
        <v>7043</v>
      </c>
      <c r="J3471" s="3"/>
      <c r="K3471" s="3"/>
      <c r="L3471" s="5"/>
    </row>
    <row r="3472" spans="1:12" ht="28.8" x14ac:dyDescent="0.55000000000000004">
      <c r="A3472" s="9" t="str">
        <f>HYPERLINK("PDF\FOIA-FWS-2020-00724-0003471.pdf","FOIA-FWS-2020-00724-0003471")</f>
        <v>FOIA-FWS-2020-00724-0003471</v>
      </c>
      <c r="B3472" s="3" t="s">
        <v>5447</v>
      </c>
      <c r="C3472" s="3" t="s">
        <v>3</v>
      </c>
      <c r="D3472" s="3" t="s">
        <v>33</v>
      </c>
      <c r="E3472" s="3" t="s">
        <v>5448</v>
      </c>
      <c r="F3472" s="4">
        <v>43852.754166666666</v>
      </c>
      <c r="G3472" s="3" t="s">
        <v>872</v>
      </c>
      <c r="H3472" s="3" t="s">
        <v>861</v>
      </c>
      <c r="I3472" s="3" t="s">
        <v>7043</v>
      </c>
      <c r="J3472" s="3"/>
      <c r="K3472" s="3"/>
      <c r="L3472" s="5"/>
    </row>
    <row r="3473" spans="1:12" ht="28.8" x14ac:dyDescent="0.55000000000000004">
      <c r="A3473" s="9" t="str">
        <f>HYPERLINK("PDF\FOIA-FWS-2020-00724-0003472.pdf","FOIA-FWS-2020-00724-0003472")</f>
        <v>FOIA-FWS-2020-00724-0003472</v>
      </c>
      <c r="B3473" s="3" t="s">
        <v>5449</v>
      </c>
      <c r="C3473" s="3" t="s">
        <v>3</v>
      </c>
      <c r="D3473" s="3" t="s">
        <v>33</v>
      </c>
      <c r="E3473" s="3" t="s">
        <v>5442</v>
      </c>
      <c r="F3473" s="4">
        <v>43852.772916666669</v>
      </c>
      <c r="G3473" s="3" t="s">
        <v>872</v>
      </c>
      <c r="H3473" s="3" t="s">
        <v>955</v>
      </c>
      <c r="I3473" s="3" t="s">
        <v>7043</v>
      </c>
      <c r="J3473" s="3"/>
      <c r="K3473" s="3"/>
      <c r="L3473" s="5"/>
    </row>
    <row r="3474" spans="1:12" ht="28.8" x14ac:dyDescent="0.55000000000000004">
      <c r="A3474" s="9" t="str">
        <f>HYPERLINK("PDF\FOIA-FWS-2020-00724-0003473.pdf","FOIA-FWS-2020-00724-0003473")</f>
        <v>FOIA-FWS-2020-00724-0003473</v>
      </c>
      <c r="B3474" s="3" t="s">
        <v>5450</v>
      </c>
      <c r="C3474" s="3" t="s">
        <v>3</v>
      </c>
      <c r="D3474" s="3" t="s">
        <v>33</v>
      </c>
      <c r="E3474" s="3" t="s">
        <v>5451</v>
      </c>
      <c r="F3474" s="4">
        <v>43852.775694444441</v>
      </c>
      <c r="G3474" s="3" t="s">
        <v>861</v>
      </c>
      <c r="H3474" s="3" t="s">
        <v>955</v>
      </c>
      <c r="I3474" s="3" t="s">
        <v>7043</v>
      </c>
      <c r="J3474" s="3"/>
      <c r="K3474" s="3"/>
      <c r="L3474" s="5"/>
    </row>
    <row r="3475" spans="1:12" ht="28.8" x14ac:dyDescent="0.55000000000000004">
      <c r="A3475" s="9" t="str">
        <f>HYPERLINK("PDF\FOIA-FWS-2020-00724-0003474.pdf","FOIA-FWS-2020-00724-0003474")</f>
        <v>FOIA-FWS-2020-00724-0003474</v>
      </c>
      <c r="B3475" s="3" t="s">
        <v>5452</v>
      </c>
      <c r="C3475" s="3" t="s">
        <v>3</v>
      </c>
      <c r="D3475" s="3" t="s">
        <v>33</v>
      </c>
      <c r="E3475" s="3" t="s">
        <v>5453</v>
      </c>
      <c r="F3475" s="4">
        <v>43852.777777777781</v>
      </c>
      <c r="G3475" s="3" t="s">
        <v>861</v>
      </c>
      <c r="H3475" s="3" t="s">
        <v>1719</v>
      </c>
      <c r="I3475" s="3" t="s">
        <v>7043</v>
      </c>
      <c r="J3475" s="3"/>
      <c r="K3475" s="3"/>
      <c r="L3475" s="5"/>
    </row>
    <row r="3476" spans="1:12" ht="28.8" x14ac:dyDescent="0.55000000000000004">
      <c r="A3476" s="9" t="str">
        <f>HYPERLINK("PDF\FOIA-FWS-2020-00724-0003475.pdf","FOIA-FWS-2020-00724-0003475")</f>
        <v>FOIA-FWS-2020-00724-0003475</v>
      </c>
      <c r="B3476" s="3" t="s">
        <v>5454</v>
      </c>
      <c r="C3476" s="3" t="s">
        <v>3</v>
      </c>
      <c r="D3476" s="3" t="s">
        <v>33</v>
      </c>
      <c r="E3476" s="3" t="s">
        <v>5448</v>
      </c>
      <c r="F3476" s="4">
        <v>43852.777777777781</v>
      </c>
      <c r="G3476" s="3" t="s">
        <v>1516</v>
      </c>
      <c r="H3476" s="3" t="s">
        <v>861</v>
      </c>
      <c r="I3476" s="3" t="s">
        <v>7043</v>
      </c>
      <c r="J3476" s="3"/>
      <c r="K3476" s="3"/>
      <c r="L3476" s="5"/>
    </row>
    <row r="3477" spans="1:12" ht="28.8" x14ac:dyDescent="0.55000000000000004">
      <c r="A3477" s="9" t="str">
        <f>HYPERLINK("PDF\FOIA-FWS-2020-00724-0003476.pdf","FOIA-FWS-2020-00724-0003476")</f>
        <v>FOIA-FWS-2020-00724-0003476</v>
      </c>
      <c r="B3477" s="3" t="s">
        <v>5455</v>
      </c>
      <c r="C3477" s="3" t="s">
        <v>3</v>
      </c>
      <c r="D3477" s="3" t="s">
        <v>33</v>
      </c>
      <c r="E3477" s="3" t="s">
        <v>5456</v>
      </c>
      <c r="F3477" s="4">
        <v>43852.871527777781</v>
      </c>
      <c r="G3477" s="3" t="s">
        <v>861</v>
      </c>
      <c r="H3477" s="3" t="s">
        <v>955</v>
      </c>
      <c r="I3477" s="3" t="s">
        <v>7043</v>
      </c>
      <c r="J3477" s="3"/>
      <c r="K3477" s="3"/>
      <c r="L3477" s="5"/>
    </row>
    <row r="3478" spans="1:12" ht="28.8" x14ac:dyDescent="0.55000000000000004">
      <c r="A3478" s="9" t="str">
        <f>HYPERLINK("PDF\FOIA-FWS-2020-00724-0003477.pdf","FOIA-FWS-2020-00724-0003477")</f>
        <v>FOIA-FWS-2020-00724-0003477</v>
      </c>
      <c r="B3478" s="3" t="s">
        <v>5455</v>
      </c>
      <c r="C3478" s="3" t="s">
        <v>234</v>
      </c>
      <c r="D3478" s="3" t="s">
        <v>33</v>
      </c>
      <c r="E3478" s="3" t="s">
        <v>5457</v>
      </c>
      <c r="F3478" s="4">
        <v>43852.871527777781</v>
      </c>
      <c r="G3478" s="3"/>
      <c r="H3478" s="3"/>
      <c r="I3478" s="3" t="s">
        <v>7043</v>
      </c>
      <c r="J3478" s="3"/>
      <c r="K3478" s="3"/>
      <c r="L3478" s="5"/>
    </row>
    <row r="3479" spans="1:12" ht="28.8" x14ac:dyDescent="0.55000000000000004">
      <c r="A3479" s="9" t="str">
        <f>HYPERLINK("PDF\FOIA-FWS-2020-00724-0003478.pdf","FOIA-FWS-2020-00724-0003478")</f>
        <v>FOIA-FWS-2020-00724-0003478</v>
      </c>
      <c r="B3479" s="3" t="s">
        <v>5458</v>
      </c>
      <c r="C3479" s="3" t="s">
        <v>3</v>
      </c>
      <c r="D3479" s="3" t="s">
        <v>33</v>
      </c>
      <c r="E3479" s="3" t="s">
        <v>5459</v>
      </c>
      <c r="F3479" s="4">
        <v>43853.445138888892</v>
      </c>
      <c r="G3479" s="3" t="s">
        <v>963</v>
      </c>
      <c r="H3479" s="3" t="s">
        <v>919</v>
      </c>
      <c r="I3479" s="3" t="s">
        <v>7043</v>
      </c>
      <c r="J3479" s="3"/>
      <c r="K3479" s="3"/>
      <c r="L3479" s="5"/>
    </row>
    <row r="3480" spans="1:12" ht="28.8" x14ac:dyDescent="0.55000000000000004">
      <c r="A3480" s="9" t="str">
        <f>HYPERLINK("PDF\FOIA-FWS-2020-00724-0003479.pdf","FOIA-FWS-2020-00724-0003479")</f>
        <v>FOIA-FWS-2020-00724-0003479</v>
      </c>
      <c r="B3480" s="3" t="s">
        <v>5460</v>
      </c>
      <c r="C3480" s="3" t="s">
        <v>3</v>
      </c>
      <c r="D3480" s="3" t="s">
        <v>33</v>
      </c>
      <c r="E3480" s="3" t="s">
        <v>5448</v>
      </c>
      <c r="F3480" s="4">
        <v>43853.511111111111</v>
      </c>
      <c r="G3480" s="3" t="s">
        <v>861</v>
      </c>
      <c r="H3480" s="3" t="s">
        <v>872</v>
      </c>
      <c r="I3480" s="3" t="s">
        <v>7043</v>
      </c>
      <c r="J3480" s="3"/>
      <c r="K3480" s="3"/>
      <c r="L3480" s="5"/>
    </row>
    <row r="3481" spans="1:12" ht="28.8" x14ac:dyDescent="0.55000000000000004">
      <c r="A3481" s="9" t="str">
        <f>HYPERLINK("PDF\FOIA-FWS-2020-00724-0003480.pdf","FOIA-FWS-2020-00724-0003480")</f>
        <v>FOIA-FWS-2020-00724-0003480</v>
      </c>
      <c r="B3481" s="3" t="s">
        <v>5461</v>
      </c>
      <c r="C3481" s="3" t="s">
        <v>3</v>
      </c>
      <c r="D3481" s="3" t="s">
        <v>33</v>
      </c>
      <c r="E3481" s="3" t="s">
        <v>5463</v>
      </c>
      <c r="F3481" s="4">
        <v>43853.537499999999</v>
      </c>
      <c r="G3481" s="3" t="s">
        <v>1332</v>
      </c>
      <c r="H3481" s="3" t="s">
        <v>5462</v>
      </c>
      <c r="I3481" s="3" t="s">
        <v>7043</v>
      </c>
      <c r="J3481" s="3"/>
      <c r="K3481" s="3"/>
      <c r="L3481" s="5"/>
    </row>
    <row r="3482" spans="1:12" ht="28.8" x14ac:dyDescent="0.55000000000000004">
      <c r="A3482" s="9" t="str">
        <f>HYPERLINK("PDF\FOIA-FWS-2020-00724-0003481.pdf","FOIA-FWS-2020-00724-0003481")</f>
        <v>FOIA-FWS-2020-00724-0003481</v>
      </c>
      <c r="B3482" s="3" t="s">
        <v>5464</v>
      </c>
      <c r="C3482" s="3" t="s">
        <v>3</v>
      </c>
      <c r="D3482" s="3" t="s">
        <v>33</v>
      </c>
      <c r="E3482" s="3" t="s">
        <v>5466</v>
      </c>
      <c r="F3482" s="4">
        <v>43853.542361111111</v>
      </c>
      <c r="G3482" s="3" t="s">
        <v>2965</v>
      </c>
      <c r="H3482" s="3" t="s">
        <v>5465</v>
      </c>
      <c r="I3482" s="3" t="s">
        <v>7043</v>
      </c>
      <c r="J3482" s="3"/>
      <c r="K3482" s="3"/>
      <c r="L3482" s="5"/>
    </row>
    <row r="3483" spans="1:12" ht="43.2" x14ac:dyDescent="0.55000000000000004">
      <c r="A3483" s="9" t="str">
        <f>HYPERLINK("PDF\FOIA-FWS-2020-00724-0003482.pdf","FOIA-FWS-2020-00724-0003482")</f>
        <v>FOIA-FWS-2020-00724-0003482</v>
      </c>
      <c r="B3483" s="3" t="s">
        <v>5464</v>
      </c>
      <c r="C3483" s="3" t="s">
        <v>234</v>
      </c>
      <c r="D3483" s="3" t="s">
        <v>4</v>
      </c>
      <c r="E3483" s="3" t="s">
        <v>5467</v>
      </c>
      <c r="F3483" s="4">
        <v>43853.542361111111</v>
      </c>
      <c r="G3483" s="3"/>
      <c r="H3483" s="3"/>
      <c r="I3483" s="3" t="s">
        <v>7043</v>
      </c>
      <c r="J3483" s="3"/>
      <c r="K3483" s="3"/>
      <c r="L3483" s="5"/>
    </row>
    <row r="3484" spans="1:12" ht="28.8" x14ac:dyDescent="0.55000000000000004">
      <c r="A3484" s="9" t="str">
        <f>HYPERLINK("PDF\FOIA-FWS-2020-00724-0003483.pdf","FOIA-FWS-2020-00724-0003483")</f>
        <v>FOIA-FWS-2020-00724-0003483</v>
      </c>
      <c r="B3484" s="3" t="s">
        <v>5464</v>
      </c>
      <c r="C3484" s="3" t="s">
        <v>234</v>
      </c>
      <c r="D3484" s="3" t="s">
        <v>4</v>
      </c>
      <c r="E3484" s="3" t="s">
        <v>5468</v>
      </c>
      <c r="F3484" s="4">
        <v>43853.542361111111</v>
      </c>
      <c r="G3484" s="3"/>
      <c r="H3484" s="3"/>
      <c r="I3484" s="3" t="s">
        <v>7043</v>
      </c>
      <c r="J3484" s="3"/>
      <c r="K3484" s="3"/>
      <c r="L3484" s="5"/>
    </row>
    <row r="3485" spans="1:12" ht="28.8" x14ac:dyDescent="0.55000000000000004">
      <c r="A3485" s="9" t="str">
        <f>HYPERLINK("PDF\FOIA-FWS-2020-00724-0003484.pdf","FOIA-FWS-2020-00724-0003484")</f>
        <v>FOIA-FWS-2020-00724-0003484</v>
      </c>
      <c r="B3485" s="3" t="s">
        <v>5469</v>
      </c>
      <c r="C3485" s="3" t="s">
        <v>3</v>
      </c>
      <c r="D3485" s="3" t="s">
        <v>33</v>
      </c>
      <c r="E3485" s="3" t="s">
        <v>5470</v>
      </c>
      <c r="F3485" s="4">
        <v>43853.543749999997</v>
      </c>
      <c r="G3485" s="3"/>
      <c r="H3485" s="3"/>
      <c r="I3485" s="3" t="s">
        <v>7043</v>
      </c>
      <c r="J3485" s="3"/>
      <c r="K3485" s="3"/>
      <c r="L3485" s="5"/>
    </row>
    <row r="3486" spans="1:12" ht="28.8" x14ac:dyDescent="0.55000000000000004">
      <c r="A3486" s="9" t="str">
        <f>HYPERLINK("PDF\FOIA-FWS-2020-00724-0003485.pdf","FOIA-FWS-2020-00724-0003485")</f>
        <v>FOIA-FWS-2020-00724-0003485</v>
      </c>
      <c r="B3486" s="3" t="s">
        <v>5471</v>
      </c>
      <c r="C3486" s="3" t="s">
        <v>3</v>
      </c>
      <c r="D3486" s="3" t="s">
        <v>33</v>
      </c>
      <c r="E3486" s="3" t="s">
        <v>5472</v>
      </c>
      <c r="F3486" s="4">
        <v>43853.552777777775</v>
      </c>
      <c r="G3486" s="3" t="s">
        <v>861</v>
      </c>
      <c r="H3486" s="3" t="s">
        <v>945</v>
      </c>
      <c r="I3486" s="3" t="s">
        <v>7043</v>
      </c>
      <c r="J3486" s="3"/>
      <c r="K3486" s="3"/>
      <c r="L3486" s="5"/>
    </row>
    <row r="3487" spans="1:12" ht="28.8" x14ac:dyDescent="0.55000000000000004">
      <c r="A3487" s="9" t="str">
        <f>HYPERLINK("PDF\FOIA-FWS-2020-00724-0003486.pdf","FOIA-FWS-2020-00724-0003486")</f>
        <v>FOIA-FWS-2020-00724-0003486</v>
      </c>
      <c r="B3487" s="3" t="s">
        <v>5471</v>
      </c>
      <c r="C3487" s="3" t="s">
        <v>234</v>
      </c>
      <c r="D3487" s="3" t="s">
        <v>33</v>
      </c>
      <c r="E3487" s="3" t="s">
        <v>5473</v>
      </c>
      <c r="F3487" s="4">
        <v>43853.552777777775</v>
      </c>
      <c r="G3487" s="3"/>
      <c r="H3487" s="3"/>
      <c r="I3487" s="3" t="s">
        <v>7043</v>
      </c>
      <c r="J3487" s="3"/>
      <c r="K3487" s="3"/>
      <c r="L3487" s="5"/>
    </row>
    <row r="3488" spans="1:12" ht="28.8" x14ac:dyDescent="0.55000000000000004">
      <c r="A3488" s="9" t="str">
        <f>HYPERLINK("PDF\FOIA-FWS-2020-00724-0003487.pdf","FOIA-FWS-2020-00724-0003487")</f>
        <v>FOIA-FWS-2020-00724-0003487</v>
      </c>
      <c r="B3488" s="3" t="s">
        <v>5474</v>
      </c>
      <c r="C3488" s="3" t="s">
        <v>3</v>
      </c>
      <c r="D3488" s="3" t="s">
        <v>33</v>
      </c>
      <c r="E3488" s="3" t="s">
        <v>5463</v>
      </c>
      <c r="F3488" s="4">
        <v>43853.564583333333</v>
      </c>
      <c r="G3488" s="3" t="s">
        <v>1332</v>
      </c>
      <c r="H3488" s="3" t="s">
        <v>5462</v>
      </c>
      <c r="I3488" s="3" t="s">
        <v>7043</v>
      </c>
      <c r="J3488" s="3"/>
      <c r="K3488" s="3"/>
      <c r="L3488" s="5"/>
    </row>
    <row r="3489" spans="1:12" ht="28.8" x14ac:dyDescent="0.55000000000000004">
      <c r="A3489" s="9" t="str">
        <f>HYPERLINK("PDF\FOIA-FWS-2020-00724-0003488.pdf","FOIA-FWS-2020-00724-0003488")</f>
        <v>FOIA-FWS-2020-00724-0003488</v>
      </c>
      <c r="B3489" s="3" t="s">
        <v>5475</v>
      </c>
      <c r="C3489" s="3" t="s">
        <v>3</v>
      </c>
      <c r="D3489" s="3" t="s">
        <v>33</v>
      </c>
      <c r="E3489" s="3" t="s">
        <v>5476</v>
      </c>
      <c r="F3489" s="4">
        <v>43853.570138888892</v>
      </c>
      <c r="G3489" s="3" t="s">
        <v>963</v>
      </c>
      <c r="H3489" s="3" t="s">
        <v>945</v>
      </c>
      <c r="I3489" s="3" t="s">
        <v>7043</v>
      </c>
      <c r="J3489" s="3"/>
      <c r="K3489" s="3"/>
      <c r="L3489" s="5"/>
    </row>
    <row r="3490" spans="1:12" ht="28.8" x14ac:dyDescent="0.55000000000000004">
      <c r="A3490" s="9" t="str">
        <f>HYPERLINK("PDF\FOIA-FWS-2020-00724-0003489.pdf","FOIA-FWS-2020-00724-0003489")</f>
        <v>FOIA-FWS-2020-00724-0003489</v>
      </c>
      <c r="B3490" s="3" t="s">
        <v>5475</v>
      </c>
      <c r="C3490" s="3" t="s">
        <v>234</v>
      </c>
      <c r="D3490" s="3" t="s">
        <v>38</v>
      </c>
      <c r="E3490" s="3" t="s">
        <v>5477</v>
      </c>
      <c r="F3490" s="4">
        <v>43853.570138888892</v>
      </c>
      <c r="G3490" s="3"/>
      <c r="H3490" s="3"/>
      <c r="I3490" s="3" t="s">
        <v>7043</v>
      </c>
      <c r="J3490" s="3"/>
      <c r="K3490" s="3"/>
      <c r="L3490" s="5"/>
    </row>
    <row r="3491" spans="1:12" ht="28.8" x14ac:dyDescent="0.55000000000000004">
      <c r="A3491" s="9" t="str">
        <f>HYPERLINK("PDF\FOIA-FWS-2020-00724-0003490.pdf","FOIA-FWS-2020-00724-0003490")</f>
        <v>FOIA-FWS-2020-00724-0003490</v>
      </c>
      <c r="B3491" s="3" t="s">
        <v>5478</v>
      </c>
      <c r="C3491" s="3" t="s">
        <v>3</v>
      </c>
      <c r="D3491" s="3" t="s">
        <v>33</v>
      </c>
      <c r="E3491" s="3" t="s">
        <v>5479</v>
      </c>
      <c r="F3491" s="4">
        <v>43853.579861111109</v>
      </c>
      <c r="G3491" s="3" t="s">
        <v>963</v>
      </c>
      <c r="H3491" s="3" t="s">
        <v>945</v>
      </c>
      <c r="I3491" s="3" t="s">
        <v>7043</v>
      </c>
      <c r="J3491" s="3"/>
      <c r="K3491" s="3"/>
      <c r="L3491" s="5"/>
    </row>
    <row r="3492" spans="1:12" ht="28.8" x14ac:dyDescent="0.55000000000000004">
      <c r="A3492" s="9" t="str">
        <f>HYPERLINK("PDF\FOIA-FWS-2020-00724-0003491.pdf","FOIA-FWS-2020-00724-0003491")</f>
        <v>FOIA-FWS-2020-00724-0003491</v>
      </c>
      <c r="B3492" s="3" t="s">
        <v>5478</v>
      </c>
      <c r="C3492" s="3" t="s">
        <v>234</v>
      </c>
      <c r="D3492" s="3" t="s">
        <v>38</v>
      </c>
      <c r="E3492" s="3" t="s">
        <v>5480</v>
      </c>
      <c r="F3492" s="4">
        <v>43853.579861111109</v>
      </c>
      <c r="G3492" s="3"/>
      <c r="H3492" s="3"/>
      <c r="I3492" s="3" t="s">
        <v>7043</v>
      </c>
      <c r="J3492" s="3"/>
      <c r="K3492" s="3"/>
      <c r="L3492" s="5"/>
    </row>
    <row r="3493" spans="1:12" ht="28.8" x14ac:dyDescent="0.55000000000000004">
      <c r="A3493" s="9" t="str">
        <f>HYPERLINK("PDF\FOIA-FWS-2020-00724-0003492.pdf","FOIA-FWS-2020-00724-0003492")</f>
        <v>FOIA-FWS-2020-00724-0003492</v>
      </c>
      <c r="B3493" s="3" t="s">
        <v>5481</v>
      </c>
      <c r="C3493" s="3" t="s">
        <v>3</v>
      </c>
      <c r="D3493" s="3" t="s">
        <v>33</v>
      </c>
      <c r="E3493" s="3" t="s">
        <v>5448</v>
      </c>
      <c r="F3493" s="4">
        <v>43853.581944444442</v>
      </c>
      <c r="G3493" s="3" t="s">
        <v>955</v>
      </c>
      <c r="H3493" s="3" t="s">
        <v>861</v>
      </c>
      <c r="I3493" s="3" t="s">
        <v>7043</v>
      </c>
      <c r="J3493" s="3"/>
      <c r="K3493" s="3"/>
      <c r="L3493" s="5"/>
    </row>
    <row r="3494" spans="1:12" ht="28.8" x14ac:dyDescent="0.55000000000000004">
      <c r="A3494" s="9" t="str">
        <f>HYPERLINK("PDF\FOIA-FWS-2020-00724-0003493.pdf","FOIA-FWS-2020-00724-0003493")</f>
        <v>FOIA-FWS-2020-00724-0003493</v>
      </c>
      <c r="B3494" s="3" t="s">
        <v>5482</v>
      </c>
      <c r="C3494" s="3" t="s">
        <v>3</v>
      </c>
      <c r="D3494" s="3" t="s">
        <v>33</v>
      </c>
      <c r="E3494" s="3" t="s">
        <v>5483</v>
      </c>
      <c r="F3494" s="4">
        <v>43853.588194444441</v>
      </c>
      <c r="G3494" s="3" t="s">
        <v>1730</v>
      </c>
      <c r="H3494" s="3" t="s">
        <v>861</v>
      </c>
      <c r="I3494" s="3" t="s">
        <v>7043</v>
      </c>
      <c r="J3494" s="3"/>
      <c r="K3494" s="3"/>
      <c r="L3494" s="5"/>
    </row>
    <row r="3495" spans="1:12" ht="28.8" x14ac:dyDescent="0.55000000000000004">
      <c r="A3495" s="9" t="str">
        <f>HYPERLINK("PDF\FOIA-FWS-2020-00724-0003494.pdf","FOIA-FWS-2020-00724-0003494")</f>
        <v>FOIA-FWS-2020-00724-0003494</v>
      </c>
      <c r="B3495" s="3" t="s">
        <v>5482</v>
      </c>
      <c r="C3495" s="3" t="s">
        <v>234</v>
      </c>
      <c r="D3495" s="3" t="s">
        <v>33</v>
      </c>
      <c r="E3495" s="3" t="s">
        <v>5484</v>
      </c>
      <c r="F3495" s="4">
        <v>43853.588194444441</v>
      </c>
      <c r="G3495" s="3"/>
      <c r="H3495" s="3"/>
      <c r="I3495" s="3" t="s">
        <v>7043</v>
      </c>
      <c r="J3495" s="3"/>
      <c r="K3495" s="3"/>
      <c r="L3495" s="5"/>
    </row>
    <row r="3496" spans="1:12" ht="28.8" x14ac:dyDescent="0.55000000000000004">
      <c r="A3496" s="9" t="str">
        <f>HYPERLINK("PDF\FOIA-FWS-2020-00724-0003495.pdf","FOIA-FWS-2020-00724-0003495")</f>
        <v>FOIA-FWS-2020-00724-0003495</v>
      </c>
      <c r="B3496" s="3" t="s">
        <v>5482</v>
      </c>
      <c r="C3496" s="3" t="s">
        <v>234</v>
      </c>
      <c r="D3496" s="3" t="s">
        <v>33</v>
      </c>
      <c r="E3496" s="3" t="s">
        <v>5485</v>
      </c>
      <c r="F3496" s="4">
        <v>43853.588194444441</v>
      </c>
      <c r="G3496" s="3"/>
      <c r="H3496" s="3"/>
      <c r="I3496" s="3" t="s">
        <v>7043</v>
      </c>
      <c r="J3496" s="3"/>
      <c r="K3496" s="3"/>
      <c r="L3496" s="5"/>
    </row>
    <row r="3497" spans="1:12" ht="28.8" x14ac:dyDescent="0.55000000000000004">
      <c r="A3497" s="9" t="str">
        <f>HYPERLINK("PDF\FOIA-FWS-2020-00724-0003496.pdf","FOIA-FWS-2020-00724-0003496")</f>
        <v>FOIA-FWS-2020-00724-0003496</v>
      </c>
      <c r="B3497" s="3" t="s">
        <v>5486</v>
      </c>
      <c r="C3497" s="3" t="s">
        <v>3</v>
      </c>
      <c r="D3497" s="3" t="s">
        <v>33</v>
      </c>
      <c r="E3497" s="3" t="s">
        <v>5487</v>
      </c>
      <c r="F3497" s="4">
        <v>43853.59097222222</v>
      </c>
      <c r="G3497" s="3" t="s">
        <v>872</v>
      </c>
      <c r="H3497" s="3" t="s">
        <v>1874</v>
      </c>
      <c r="I3497" s="3" t="s">
        <v>7043</v>
      </c>
      <c r="J3497" s="3"/>
      <c r="K3497" s="3"/>
      <c r="L3497" s="5"/>
    </row>
    <row r="3498" spans="1:12" ht="28.8" x14ac:dyDescent="0.55000000000000004">
      <c r="A3498" s="9" t="str">
        <f>HYPERLINK("PDF\FOIA-FWS-2020-00724-0003497.pdf","FOIA-FWS-2020-00724-0003497")</f>
        <v>FOIA-FWS-2020-00724-0003497</v>
      </c>
      <c r="B3498" s="3" t="s">
        <v>5486</v>
      </c>
      <c r="C3498" s="3" t="s">
        <v>234</v>
      </c>
      <c r="D3498" s="3" t="s">
        <v>33</v>
      </c>
      <c r="E3498" s="3" t="s">
        <v>5488</v>
      </c>
      <c r="F3498" s="4">
        <v>43853.59097222222</v>
      </c>
      <c r="G3498" s="3"/>
      <c r="H3498" s="3"/>
      <c r="I3498" s="3" t="s">
        <v>7043</v>
      </c>
      <c r="J3498" s="3"/>
      <c r="K3498" s="3"/>
      <c r="L3498" s="5"/>
    </row>
    <row r="3499" spans="1:12" ht="28.8" x14ac:dyDescent="0.55000000000000004">
      <c r="A3499" s="9" t="str">
        <f>HYPERLINK("PDF\FOIA-FWS-2020-00724-0003498.pdf","FOIA-FWS-2020-00724-0003498")</f>
        <v>FOIA-FWS-2020-00724-0003498</v>
      </c>
      <c r="B3499" s="3" t="s">
        <v>5489</v>
      </c>
      <c r="C3499" s="3" t="s">
        <v>3</v>
      </c>
      <c r="D3499" s="3" t="s">
        <v>33</v>
      </c>
      <c r="E3499" s="3" t="s">
        <v>5490</v>
      </c>
      <c r="F3499" s="4">
        <v>43853.606944444444</v>
      </c>
      <c r="G3499" s="3" t="s">
        <v>872</v>
      </c>
      <c r="H3499" s="3" t="s">
        <v>861</v>
      </c>
      <c r="I3499" s="3" t="s">
        <v>7043</v>
      </c>
      <c r="J3499" s="3"/>
      <c r="K3499" s="3"/>
      <c r="L3499" s="5"/>
    </row>
    <row r="3500" spans="1:12" ht="28.8" x14ac:dyDescent="0.55000000000000004">
      <c r="A3500" s="9" t="str">
        <f>HYPERLINK("PDF\FOIA-FWS-2020-00724-0003499.pdf","FOIA-FWS-2020-00724-0003499")</f>
        <v>FOIA-FWS-2020-00724-0003499</v>
      </c>
      <c r="B3500" s="3" t="s">
        <v>5491</v>
      </c>
      <c r="C3500" s="3" t="s">
        <v>3</v>
      </c>
      <c r="D3500" s="3" t="s">
        <v>33</v>
      </c>
      <c r="E3500" s="3" t="s">
        <v>5472</v>
      </c>
      <c r="F3500" s="4">
        <v>43853.620833333334</v>
      </c>
      <c r="G3500" s="3" t="s">
        <v>945</v>
      </c>
      <c r="H3500" s="3" t="s">
        <v>5492</v>
      </c>
      <c r="I3500" s="3" t="s">
        <v>7043</v>
      </c>
      <c r="J3500" s="3"/>
      <c r="K3500" s="3"/>
      <c r="L3500" s="5"/>
    </row>
    <row r="3501" spans="1:12" ht="28.8" x14ac:dyDescent="0.55000000000000004">
      <c r="A3501" s="9" t="str">
        <f>HYPERLINK("PDF\FOIA-FWS-2020-00724-0003500.pdf","FOIA-FWS-2020-00724-0003500")</f>
        <v>FOIA-FWS-2020-00724-0003500</v>
      </c>
      <c r="B3501" s="3" t="s">
        <v>5491</v>
      </c>
      <c r="C3501" s="3" t="s">
        <v>234</v>
      </c>
      <c r="D3501" s="3" t="s">
        <v>33</v>
      </c>
      <c r="E3501" s="3" t="s">
        <v>5493</v>
      </c>
      <c r="F3501" s="4">
        <v>43853.620833333334</v>
      </c>
      <c r="G3501" s="3"/>
      <c r="H3501" s="3"/>
      <c r="I3501" s="3" t="s">
        <v>7043</v>
      </c>
      <c r="J3501" s="3"/>
      <c r="K3501" s="3"/>
      <c r="L3501" s="5"/>
    </row>
    <row r="3502" spans="1:12" ht="28.8" x14ac:dyDescent="0.55000000000000004">
      <c r="A3502" s="9" t="str">
        <f>HYPERLINK("PDF\FOIA-FWS-2020-00724-0003501.pdf","FOIA-FWS-2020-00724-0003501")</f>
        <v>FOIA-FWS-2020-00724-0003501</v>
      </c>
      <c r="B3502" s="3" t="s">
        <v>5494</v>
      </c>
      <c r="C3502" s="3" t="s">
        <v>3</v>
      </c>
      <c r="D3502" s="3" t="s">
        <v>33</v>
      </c>
      <c r="E3502" s="3" t="s">
        <v>5496</v>
      </c>
      <c r="F3502" s="4">
        <v>43853.67083333333</v>
      </c>
      <c r="G3502" s="3" t="s">
        <v>963</v>
      </c>
      <c r="H3502" s="3" t="s">
        <v>5495</v>
      </c>
      <c r="I3502" s="3" t="s">
        <v>7043</v>
      </c>
      <c r="J3502" s="3"/>
      <c r="K3502" s="3"/>
      <c r="L3502" s="5"/>
    </row>
    <row r="3503" spans="1:12" ht="28.8" x14ac:dyDescent="0.55000000000000004">
      <c r="A3503" s="9" t="str">
        <f>HYPERLINK("PDF\FOIA-FWS-2020-00724-0003502.pdf","FOIA-FWS-2020-00724-0003502")</f>
        <v>FOIA-FWS-2020-00724-0003502</v>
      </c>
      <c r="B3503" s="3" t="s">
        <v>5497</v>
      </c>
      <c r="C3503" s="3" t="s">
        <v>3</v>
      </c>
      <c r="D3503" s="3" t="s">
        <v>33</v>
      </c>
      <c r="E3503" s="3" t="s">
        <v>5498</v>
      </c>
      <c r="F3503" s="4">
        <v>43853.697916666664</v>
      </c>
      <c r="G3503" s="3" t="s">
        <v>955</v>
      </c>
      <c r="H3503" s="3" t="s">
        <v>861</v>
      </c>
      <c r="I3503" s="3" t="s">
        <v>7043</v>
      </c>
      <c r="J3503" s="3"/>
      <c r="K3503" s="3"/>
      <c r="L3503" s="5"/>
    </row>
    <row r="3504" spans="1:12" ht="115.2" x14ac:dyDescent="0.55000000000000004">
      <c r="A3504" s="9" t="str">
        <f>HYPERLINK("PDF\FOIA-FWS-2020-00724-0003503.pdf","FOIA-FWS-2020-00724-0003503")</f>
        <v>FOIA-FWS-2020-00724-0003503</v>
      </c>
      <c r="B3504" s="3" t="s">
        <v>5499</v>
      </c>
      <c r="C3504" s="3" t="s">
        <v>3</v>
      </c>
      <c r="D3504" s="3" t="s">
        <v>33</v>
      </c>
      <c r="E3504" s="3" t="s">
        <v>5501</v>
      </c>
      <c r="F3504" s="4">
        <v>43853.712500000001</v>
      </c>
      <c r="G3504" s="3" t="s">
        <v>2081</v>
      </c>
      <c r="H3504" s="3" t="s">
        <v>5500</v>
      </c>
      <c r="I3504" s="3" t="s">
        <v>864</v>
      </c>
      <c r="J3504" s="3" t="s">
        <v>7046</v>
      </c>
      <c r="K3504" s="3" t="s">
        <v>7036</v>
      </c>
      <c r="L3504" s="5"/>
    </row>
    <row r="3505" spans="1:12" ht="172.8" x14ac:dyDescent="0.55000000000000004">
      <c r="A3505" s="9" t="str">
        <f>HYPERLINK("PDF\FOIA-FWS-2020-00724-0003504.pdf","FOIA-FWS-2020-00724-0003504")</f>
        <v>FOIA-FWS-2020-00724-0003504</v>
      </c>
      <c r="B3505" s="3" t="s">
        <v>5499</v>
      </c>
      <c r="C3505" s="3" t="s">
        <v>234</v>
      </c>
      <c r="D3505" s="3" t="s">
        <v>33</v>
      </c>
      <c r="E3505" s="3" t="s">
        <v>867</v>
      </c>
      <c r="F3505" s="4">
        <v>43853.712500000001</v>
      </c>
      <c r="G3505" s="3" t="s">
        <v>1679</v>
      </c>
      <c r="H3505" s="3" t="s">
        <v>5502</v>
      </c>
      <c r="I3505" s="3" t="s">
        <v>864</v>
      </c>
      <c r="J3505" s="3" t="s">
        <v>7046</v>
      </c>
      <c r="K3505" s="3" t="s">
        <v>7036</v>
      </c>
      <c r="L3505" s="5"/>
    </row>
    <row r="3506" spans="1:12" ht="28.8" x14ac:dyDescent="0.55000000000000004">
      <c r="A3506" s="9" t="str">
        <f>HYPERLINK("PDF\FOIA-FWS-2020-00724-0003505.pdf","FOIA-FWS-2020-00724-0003505")</f>
        <v>FOIA-FWS-2020-00724-0003505</v>
      </c>
      <c r="B3506" s="3" t="s">
        <v>5503</v>
      </c>
      <c r="C3506" s="3" t="s">
        <v>3</v>
      </c>
      <c r="D3506" s="3" t="s">
        <v>33</v>
      </c>
      <c r="E3506" s="3" t="s">
        <v>5504</v>
      </c>
      <c r="F3506" s="4">
        <v>43853.730555555558</v>
      </c>
      <c r="G3506" s="3" t="s">
        <v>872</v>
      </c>
      <c r="H3506" s="3" t="s">
        <v>963</v>
      </c>
      <c r="I3506" s="3" t="s">
        <v>7043</v>
      </c>
      <c r="J3506" s="3"/>
      <c r="K3506" s="3"/>
      <c r="L3506" s="5"/>
    </row>
    <row r="3507" spans="1:12" ht="28.8" x14ac:dyDescent="0.55000000000000004">
      <c r="A3507" s="9" t="str">
        <f>HYPERLINK("PDF\FOIA-FWS-2020-00724-0003506.pdf","FOIA-FWS-2020-00724-0003506")</f>
        <v>FOIA-FWS-2020-00724-0003506</v>
      </c>
      <c r="B3507" s="3" t="s">
        <v>5505</v>
      </c>
      <c r="C3507" s="3" t="s">
        <v>3</v>
      </c>
      <c r="D3507" s="3" t="s">
        <v>33</v>
      </c>
      <c r="E3507" s="3" t="s">
        <v>5506</v>
      </c>
      <c r="F3507" s="4">
        <v>43853.775000000001</v>
      </c>
      <c r="G3507" s="3" t="s">
        <v>1034</v>
      </c>
      <c r="H3507" s="3" t="s">
        <v>3123</v>
      </c>
      <c r="I3507" s="3" t="s">
        <v>7043</v>
      </c>
      <c r="J3507" s="3"/>
      <c r="K3507" s="3"/>
      <c r="L3507" s="5"/>
    </row>
    <row r="3508" spans="1:12" ht="28.8" x14ac:dyDescent="0.55000000000000004">
      <c r="A3508" s="9" t="str">
        <f>HYPERLINK("PDF\FOIA-FWS-2020-00724-0003507.pdf","FOIA-FWS-2020-00724-0003507")</f>
        <v>FOIA-FWS-2020-00724-0003507</v>
      </c>
      <c r="B3508" s="3" t="s">
        <v>5505</v>
      </c>
      <c r="C3508" s="3" t="s">
        <v>234</v>
      </c>
      <c r="D3508" s="3" t="s">
        <v>33</v>
      </c>
      <c r="E3508" s="3" t="s">
        <v>5507</v>
      </c>
      <c r="F3508" s="4">
        <v>43853.775000000001</v>
      </c>
      <c r="G3508" s="3"/>
      <c r="H3508" s="3"/>
      <c r="I3508" s="3" t="s">
        <v>7043</v>
      </c>
      <c r="J3508" s="3"/>
      <c r="K3508" s="3"/>
      <c r="L3508" s="5"/>
    </row>
    <row r="3509" spans="1:12" ht="28.8" x14ac:dyDescent="0.55000000000000004">
      <c r="A3509" s="9" t="str">
        <f>HYPERLINK("PDF\FOIA-FWS-2020-00724-0003508.pdf","FOIA-FWS-2020-00724-0003508")</f>
        <v>FOIA-FWS-2020-00724-0003508</v>
      </c>
      <c r="B3509" s="3" t="s">
        <v>5508</v>
      </c>
      <c r="C3509" s="3" t="s">
        <v>3</v>
      </c>
      <c r="D3509" s="3" t="s">
        <v>33</v>
      </c>
      <c r="E3509" s="3" t="s">
        <v>5509</v>
      </c>
      <c r="F3509" s="4">
        <v>43853.831250000003</v>
      </c>
      <c r="G3509" s="3" t="s">
        <v>955</v>
      </c>
      <c r="H3509" s="3" t="s">
        <v>861</v>
      </c>
      <c r="I3509" s="3" t="s">
        <v>7043</v>
      </c>
      <c r="J3509" s="3"/>
      <c r="K3509" s="3"/>
      <c r="L3509" s="5"/>
    </row>
    <row r="3510" spans="1:12" ht="28.8" x14ac:dyDescent="0.55000000000000004">
      <c r="A3510" s="9" t="str">
        <f>HYPERLINK("PDF\FOIA-FWS-2020-00724-0003509.pdf","FOIA-FWS-2020-00724-0003509")</f>
        <v>FOIA-FWS-2020-00724-0003509</v>
      </c>
      <c r="B3510" s="3" t="s">
        <v>5510</v>
      </c>
      <c r="C3510" s="3" t="s">
        <v>3</v>
      </c>
      <c r="D3510" s="3" t="s">
        <v>33</v>
      </c>
      <c r="E3510" s="3" t="s">
        <v>5511</v>
      </c>
      <c r="F3510" s="4">
        <v>43854</v>
      </c>
      <c r="G3510" s="3"/>
      <c r="H3510" s="3"/>
      <c r="I3510" s="3" t="s">
        <v>7043</v>
      </c>
      <c r="J3510" s="3"/>
      <c r="K3510" s="3"/>
      <c r="L3510" s="5"/>
    </row>
    <row r="3511" spans="1:12" ht="28.8" x14ac:dyDescent="0.55000000000000004">
      <c r="A3511" s="9" t="str">
        <f>HYPERLINK("PDF\FOIA-FWS-2020-00724-0003510.pdf","FOIA-FWS-2020-00724-0003510")</f>
        <v>FOIA-FWS-2020-00724-0003510</v>
      </c>
      <c r="B3511" s="3" t="s">
        <v>5512</v>
      </c>
      <c r="C3511" s="3" t="s">
        <v>3</v>
      </c>
      <c r="D3511" s="3" t="s">
        <v>33</v>
      </c>
      <c r="E3511" s="3" t="s">
        <v>5513</v>
      </c>
      <c r="F3511" s="4">
        <v>43854</v>
      </c>
      <c r="G3511" s="3"/>
      <c r="H3511" s="3"/>
      <c r="I3511" s="3" t="s">
        <v>7043</v>
      </c>
      <c r="J3511" s="3"/>
      <c r="K3511" s="3"/>
      <c r="L3511" s="5"/>
    </row>
    <row r="3512" spans="1:12" ht="28.8" x14ac:dyDescent="0.55000000000000004">
      <c r="A3512" s="9" t="str">
        <f>HYPERLINK("PDF\FOIA-FWS-2020-00724-0003511.pdf","FOIA-FWS-2020-00724-0003511")</f>
        <v>FOIA-FWS-2020-00724-0003511</v>
      </c>
      <c r="B3512" s="3" t="s">
        <v>5514</v>
      </c>
      <c r="C3512" s="3" t="s">
        <v>3</v>
      </c>
      <c r="D3512" s="3" t="s">
        <v>4</v>
      </c>
      <c r="E3512" s="3" t="s">
        <v>5515</v>
      </c>
      <c r="F3512" s="4">
        <v>43854</v>
      </c>
      <c r="G3512" s="3"/>
      <c r="H3512" s="3"/>
      <c r="I3512" s="3" t="s">
        <v>7043</v>
      </c>
      <c r="J3512" s="3"/>
      <c r="K3512" s="3"/>
      <c r="L3512" s="5"/>
    </row>
    <row r="3513" spans="1:12" ht="28.8" x14ac:dyDescent="0.55000000000000004">
      <c r="A3513" s="9" t="str">
        <f>HYPERLINK("PDF\FOIA-FWS-2020-00724-0003512.pdf","FOIA-FWS-2020-00724-0003512")</f>
        <v>FOIA-FWS-2020-00724-0003512</v>
      </c>
      <c r="B3513" s="3" t="s">
        <v>5516</v>
      </c>
      <c r="C3513" s="3" t="s">
        <v>3</v>
      </c>
      <c r="D3513" s="3" t="s">
        <v>33</v>
      </c>
      <c r="E3513" s="3" t="s">
        <v>5517</v>
      </c>
      <c r="F3513" s="4">
        <v>43854.450694444444</v>
      </c>
      <c r="G3513" s="3" t="s">
        <v>872</v>
      </c>
      <c r="H3513" s="3" t="s">
        <v>955</v>
      </c>
      <c r="I3513" s="3" t="s">
        <v>7043</v>
      </c>
      <c r="J3513" s="3"/>
      <c r="K3513" s="3"/>
      <c r="L3513" s="5"/>
    </row>
    <row r="3514" spans="1:12" ht="28.8" x14ac:dyDescent="0.55000000000000004">
      <c r="A3514" s="9" t="str">
        <f>HYPERLINK("PDF\FOIA-FWS-2020-00724-0003513.pdf","FOIA-FWS-2020-00724-0003513")</f>
        <v>FOIA-FWS-2020-00724-0003513</v>
      </c>
      <c r="B3514" s="3" t="s">
        <v>5518</v>
      </c>
      <c r="C3514" s="3" t="s">
        <v>3</v>
      </c>
      <c r="D3514" s="3" t="s">
        <v>33</v>
      </c>
      <c r="E3514" s="3" t="s">
        <v>5519</v>
      </c>
      <c r="F3514" s="4">
        <v>43854.452777777777</v>
      </c>
      <c r="G3514" s="3" t="s">
        <v>872</v>
      </c>
      <c r="H3514" s="3" t="s">
        <v>955</v>
      </c>
      <c r="I3514" s="3" t="s">
        <v>7043</v>
      </c>
      <c r="J3514" s="3"/>
      <c r="K3514" s="3"/>
      <c r="L3514" s="5"/>
    </row>
    <row r="3515" spans="1:12" ht="28.8" x14ac:dyDescent="0.55000000000000004">
      <c r="A3515" s="9" t="str">
        <f>HYPERLINK("PDF\FOIA-FWS-2020-00724-0003514.pdf","FOIA-FWS-2020-00724-0003514")</f>
        <v>FOIA-FWS-2020-00724-0003514</v>
      </c>
      <c r="B3515" s="3" t="s">
        <v>5520</v>
      </c>
      <c r="C3515" s="3" t="s">
        <v>3</v>
      </c>
      <c r="D3515" s="3" t="s">
        <v>33</v>
      </c>
      <c r="E3515" s="3" t="s">
        <v>5521</v>
      </c>
      <c r="F3515" s="4">
        <v>43854.478472222225</v>
      </c>
      <c r="G3515" s="3" t="s">
        <v>861</v>
      </c>
      <c r="H3515" s="3" t="s">
        <v>1719</v>
      </c>
      <c r="I3515" s="3" t="s">
        <v>7043</v>
      </c>
      <c r="J3515" s="3"/>
      <c r="K3515" s="3"/>
      <c r="L3515" s="5"/>
    </row>
    <row r="3516" spans="1:12" ht="28.8" x14ac:dyDescent="0.55000000000000004">
      <c r="A3516" s="9" t="str">
        <f>HYPERLINK("PDF\FOIA-FWS-2020-00724-0003515.pdf","FOIA-FWS-2020-00724-0003515")</f>
        <v>FOIA-FWS-2020-00724-0003515</v>
      </c>
      <c r="B3516" s="3" t="s">
        <v>5520</v>
      </c>
      <c r="C3516" s="3" t="s">
        <v>234</v>
      </c>
      <c r="D3516" s="3" t="s">
        <v>33</v>
      </c>
      <c r="E3516" s="3" t="s">
        <v>5522</v>
      </c>
      <c r="F3516" s="4">
        <v>43854.478472222225</v>
      </c>
      <c r="G3516" s="3"/>
      <c r="H3516" s="3"/>
      <c r="I3516" s="3" t="s">
        <v>7043</v>
      </c>
      <c r="J3516" s="3"/>
      <c r="K3516" s="3"/>
      <c r="L3516" s="5"/>
    </row>
    <row r="3517" spans="1:12" ht="28.8" x14ac:dyDescent="0.55000000000000004">
      <c r="A3517" s="9" t="str">
        <f>HYPERLINK("PDF\FOIA-FWS-2020-00724-0003516.pdf","FOIA-FWS-2020-00724-0003516")</f>
        <v>FOIA-FWS-2020-00724-0003516</v>
      </c>
      <c r="B3517" s="3" t="s">
        <v>5523</v>
      </c>
      <c r="C3517" s="3" t="s">
        <v>3</v>
      </c>
      <c r="D3517" s="3" t="s">
        <v>33</v>
      </c>
      <c r="E3517" s="3" t="s">
        <v>5525</v>
      </c>
      <c r="F3517" s="4">
        <v>43854.484027777777</v>
      </c>
      <c r="G3517" s="3" t="s">
        <v>1392</v>
      </c>
      <c r="H3517" s="3" t="s">
        <v>5524</v>
      </c>
      <c r="I3517" s="3" t="s">
        <v>7043</v>
      </c>
      <c r="J3517" s="3"/>
      <c r="K3517" s="3"/>
      <c r="L3517" s="5"/>
    </row>
    <row r="3518" spans="1:12" ht="28.8" x14ac:dyDescent="0.55000000000000004">
      <c r="A3518" s="9" t="str">
        <f>HYPERLINK("PDF\FOIA-FWS-2020-00724-0003517.pdf","FOIA-FWS-2020-00724-0003517")</f>
        <v>FOIA-FWS-2020-00724-0003517</v>
      </c>
      <c r="B3518" s="3" t="s">
        <v>5526</v>
      </c>
      <c r="C3518" s="3" t="s">
        <v>3</v>
      </c>
      <c r="D3518" s="3" t="s">
        <v>33</v>
      </c>
      <c r="E3518" s="3" t="s">
        <v>5527</v>
      </c>
      <c r="F3518" s="4">
        <v>43854.486111111109</v>
      </c>
      <c r="G3518" s="3" t="s">
        <v>1332</v>
      </c>
      <c r="H3518" s="3" t="s">
        <v>872</v>
      </c>
      <c r="I3518" s="3" t="s">
        <v>7043</v>
      </c>
      <c r="J3518" s="3"/>
      <c r="K3518" s="3"/>
      <c r="L3518" s="5"/>
    </row>
    <row r="3519" spans="1:12" ht="28.8" x14ac:dyDescent="0.55000000000000004">
      <c r="A3519" s="9" t="str">
        <f>HYPERLINK("PDF\FOIA-FWS-2020-00724-0003518.pdf","FOIA-FWS-2020-00724-0003518")</f>
        <v>FOIA-FWS-2020-00724-0003518</v>
      </c>
      <c r="B3519" s="3" t="s">
        <v>5528</v>
      </c>
      <c r="C3519" s="3" t="s">
        <v>3</v>
      </c>
      <c r="D3519" s="3" t="s">
        <v>33</v>
      </c>
      <c r="E3519" s="3" t="s">
        <v>5529</v>
      </c>
      <c r="F3519" s="4">
        <v>43854.495138888888</v>
      </c>
      <c r="G3519" s="3" t="s">
        <v>872</v>
      </c>
      <c r="H3519" s="3" t="s">
        <v>1516</v>
      </c>
      <c r="I3519" s="3" t="s">
        <v>7043</v>
      </c>
      <c r="J3519" s="3"/>
      <c r="K3519" s="3"/>
      <c r="L3519" s="5"/>
    </row>
    <row r="3520" spans="1:12" ht="28.8" x14ac:dyDescent="0.55000000000000004">
      <c r="A3520" s="9" t="str">
        <f>HYPERLINK("PDF\FOIA-FWS-2020-00724-0003519.pdf","FOIA-FWS-2020-00724-0003519")</f>
        <v>FOIA-FWS-2020-00724-0003519</v>
      </c>
      <c r="B3520" s="3" t="s">
        <v>5530</v>
      </c>
      <c r="C3520" s="3" t="s">
        <v>3</v>
      </c>
      <c r="D3520" s="3" t="s">
        <v>33</v>
      </c>
      <c r="E3520" s="3" t="s">
        <v>5531</v>
      </c>
      <c r="F3520" s="4">
        <v>43854.545138888891</v>
      </c>
      <c r="G3520" s="3" t="s">
        <v>5274</v>
      </c>
      <c r="H3520" s="3" t="s">
        <v>946</v>
      </c>
      <c r="I3520" s="3" t="s">
        <v>864</v>
      </c>
      <c r="J3520" s="3" t="s">
        <v>7046</v>
      </c>
      <c r="K3520" s="3" t="s">
        <v>7036</v>
      </c>
      <c r="L3520" s="5"/>
    </row>
    <row r="3521" spans="1:12" ht="57.6" x14ac:dyDescent="0.55000000000000004">
      <c r="A3521" s="9" t="str">
        <f>HYPERLINK("PDF\FOIA-FWS-2020-00724-0003520.pdf","FOIA-FWS-2020-00724-0003520")</f>
        <v>FOIA-FWS-2020-00724-0003520</v>
      </c>
      <c r="B3521" s="3" t="s">
        <v>5532</v>
      </c>
      <c r="C3521" s="3" t="s">
        <v>3</v>
      </c>
      <c r="D3521" s="3" t="s">
        <v>33</v>
      </c>
      <c r="E3521" s="3" t="s">
        <v>5533</v>
      </c>
      <c r="F3521" s="4">
        <v>43854.578472222223</v>
      </c>
      <c r="G3521" s="3" t="s">
        <v>861</v>
      </c>
      <c r="H3521" s="3" t="s">
        <v>955</v>
      </c>
      <c r="I3521" s="3" t="s">
        <v>7043</v>
      </c>
      <c r="J3521" s="3"/>
      <c r="K3521" s="3"/>
      <c r="L3521" s="5"/>
    </row>
    <row r="3522" spans="1:12" ht="28.8" x14ac:dyDescent="0.55000000000000004">
      <c r="A3522" s="9" t="str">
        <f>HYPERLINK("PDF\FOIA-FWS-2020-00724-0003521.pdf","FOIA-FWS-2020-00724-0003521")</f>
        <v>FOIA-FWS-2020-00724-0003521</v>
      </c>
      <c r="B3522" s="3" t="s">
        <v>5532</v>
      </c>
      <c r="C3522" s="3" t="s">
        <v>234</v>
      </c>
      <c r="D3522" s="3" t="s">
        <v>33</v>
      </c>
      <c r="E3522" s="3" t="s">
        <v>5534</v>
      </c>
      <c r="F3522" s="4">
        <v>43854.578472222223</v>
      </c>
      <c r="G3522" s="3"/>
      <c r="H3522" s="3"/>
      <c r="I3522" s="3" t="s">
        <v>7043</v>
      </c>
      <c r="J3522" s="3"/>
      <c r="K3522" s="3"/>
      <c r="L3522" s="5"/>
    </row>
    <row r="3523" spans="1:12" ht="28.8" x14ac:dyDescent="0.55000000000000004">
      <c r="A3523" s="9" t="str">
        <f>HYPERLINK("PDF\FOIA-FWS-2020-00724-0003522.pdf","FOIA-FWS-2020-00724-0003522")</f>
        <v>FOIA-FWS-2020-00724-0003522</v>
      </c>
      <c r="B3523" s="3" t="s">
        <v>5535</v>
      </c>
      <c r="C3523" s="3" t="s">
        <v>3</v>
      </c>
      <c r="D3523" s="3" t="s">
        <v>33</v>
      </c>
      <c r="E3523" s="3" t="s">
        <v>5538</v>
      </c>
      <c r="F3523" s="4">
        <v>43854.586111111108</v>
      </c>
      <c r="G3523" s="3" t="s">
        <v>5536</v>
      </c>
      <c r="H3523" s="3" t="s">
        <v>5537</v>
      </c>
      <c r="I3523" s="3" t="s">
        <v>7043</v>
      </c>
      <c r="J3523" s="3"/>
      <c r="K3523" s="3"/>
      <c r="L3523" s="5"/>
    </row>
    <row r="3524" spans="1:12" ht="28.8" x14ac:dyDescent="0.55000000000000004">
      <c r="A3524" s="9" t="str">
        <f>HYPERLINK("PDF\FOIA-FWS-2020-00724-0003523.pdf","FOIA-FWS-2020-00724-0003523")</f>
        <v>FOIA-FWS-2020-00724-0003523</v>
      </c>
      <c r="B3524" s="3" t="s">
        <v>5539</v>
      </c>
      <c r="C3524" s="3" t="s">
        <v>3</v>
      </c>
      <c r="D3524" s="3" t="s">
        <v>33</v>
      </c>
      <c r="E3524" s="3" t="s">
        <v>5541</v>
      </c>
      <c r="F3524" s="4">
        <v>43854.586111111108</v>
      </c>
      <c r="G3524" s="3" t="s">
        <v>955</v>
      </c>
      <c r="H3524" s="3" t="s">
        <v>5540</v>
      </c>
      <c r="I3524" s="3" t="s">
        <v>7043</v>
      </c>
      <c r="J3524" s="3"/>
      <c r="K3524" s="3"/>
      <c r="L3524" s="5"/>
    </row>
    <row r="3525" spans="1:12" ht="28.8" x14ac:dyDescent="0.55000000000000004">
      <c r="A3525" s="9" t="str">
        <f>HYPERLINK("PDF\FOIA-FWS-2020-00724-0003524.pdf","FOIA-FWS-2020-00724-0003524")</f>
        <v>FOIA-FWS-2020-00724-0003524</v>
      </c>
      <c r="B3525" s="3" t="s">
        <v>5542</v>
      </c>
      <c r="C3525" s="3" t="s">
        <v>3</v>
      </c>
      <c r="D3525" s="3" t="s">
        <v>33</v>
      </c>
      <c r="E3525" s="3" t="s">
        <v>5531</v>
      </c>
      <c r="F3525" s="4">
        <v>43854.586805555555</v>
      </c>
      <c r="G3525" s="3" t="s">
        <v>5274</v>
      </c>
      <c r="H3525" s="3" t="s">
        <v>946</v>
      </c>
      <c r="I3525" s="3" t="s">
        <v>7043</v>
      </c>
      <c r="J3525" s="3"/>
      <c r="K3525" s="3"/>
      <c r="L3525" s="5"/>
    </row>
    <row r="3526" spans="1:12" ht="28.8" x14ac:dyDescent="0.55000000000000004">
      <c r="A3526" s="9" t="str">
        <f>HYPERLINK("PDF\FOIA-FWS-2020-00724-0003525.pdf","FOIA-FWS-2020-00724-0003525")</f>
        <v>FOIA-FWS-2020-00724-0003525</v>
      </c>
      <c r="B3526" s="3" t="s">
        <v>5543</v>
      </c>
      <c r="C3526" s="3" t="s">
        <v>3</v>
      </c>
      <c r="D3526" s="3" t="s">
        <v>33</v>
      </c>
      <c r="E3526" s="3" t="s">
        <v>5544</v>
      </c>
      <c r="F3526" s="4">
        <v>43854.593055555553</v>
      </c>
      <c r="G3526" s="3" t="s">
        <v>955</v>
      </c>
      <c r="H3526" s="3" t="s">
        <v>1332</v>
      </c>
      <c r="I3526" s="3" t="s">
        <v>7043</v>
      </c>
      <c r="J3526" s="3"/>
      <c r="K3526" s="3"/>
      <c r="L3526" s="5"/>
    </row>
    <row r="3527" spans="1:12" ht="28.8" x14ac:dyDescent="0.55000000000000004">
      <c r="A3527" s="9" t="str">
        <f>HYPERLINK("PDF\FOIA-FWS-2020-00724-0003526.pdf","FOIA-FWS-2020-00724-0003526")</f>
        <v>FOIA-FWS-2020-00724-0003526</v>
      </c>
      <c r="B3527" s="3" t="s">
        <v>5545</v>
      </c>
      <c r="C3527" s="3" t="s">
        <v>3</v>
      </c>
      <c r="D3527" s="3" t="s">
        <v>33</v>
      </c>
      <c r="E3527" s="3" t="s">
        <v>5547</v>
      </c>
      <c r="F3527" s="4">
        <v>43854.609027777777</v>
      </c>
      <c r="G3527" s="3" t="s">
        <v>5546</v>
      </c>
      <c r="H3527" s="3" t="s">
        <v>861</v>
      </c>
      <c r="I3527" s="3" t="s">
        <v>7043</v>
      </c>
      <c r="J3527" s="3"/>
      <c r="K3527" s="3"/>
      <c r="L3527" s="5"/>
    </row>
    <row r="3528" spans="1:12" ht="28.8" x14ac:dyDescent="0.55000000000000004">
      <c r="A3528" s="9" t="str">
        <f>HYPERLINK("PDF\FOIA-FWS-2020-00724-0003527.pdf","FOIA-FWS-2020-00724-0003527")</f>
        <v>FOIA-FWS-2020-00724-0003527</v>
      </c>
      <c r="B3528" s="3" t="s">
        <v>5548</v>
      </c>
      <c r="C3528" s="3" t="s">
        <v>3</v>
      </c>
      <c r="D3528" s="3" t="s">
        <v>33</v>
      </c>
      <c r="E3528" s="3" t="s">
        <v>5549</v>
      </c>
      <c r="F3528" s="4">
        <v>43854.613888888889</v>
      </c>
      <c r="G3528" s="3" t="s">
        <v>963</v>
      </c>
      <c r="H3528" s="3" t="s">
        <v>945</v>
      </c>
      <c r="I3528" s="3" t="s">
        <v>7043</v>
      </c>
      <c r="J3528" s="3"/>
      <c r="K3528" s="3"/>
      <c r="L3528" s="5"/>
    </row>
    <row r="3529" spans="1:12" ht="28.8" x14ac:dyDescent="0.55000000000000004">
      <c r="A3529" s="9" t="str">
        <f>HYPERLINK("PDF\FOIA-FWS-2020-00724-0003528.pdf","FOIA-FWS-2020-00724-0003528")</f>
        <v>FOIA-FWS-2020-00724-0003528</v>
      </c>
      <c r="B3529" s="3" t="s">
        <v>5548</v>
      </c>
      <c r="C3529" s="3" t="s">
        <v>234</v>
      </c>
      <c r="D3529" s="3" t="s">
        <v>33</v>
      </c>
      <c r="E3529" s="3" t="s">
        <v>5550</v>
      </c>
      <c r="F3529" s="4">
        <v>43854.613888888889</v>
      </c>
      <c r="G3529" s="3"/>
      <c r="H3529" s="3"/>
      <c r="I3529" s="3" t="s">
        <v>7043</v>
      </c>
      <c r="J3529" s="3"/>
      <c r="K3529" s="3"/>
      <c r="L3529" s="5" t="str">
        <f>HYPERLINK("NATIVE_FILES\FOIA-FWS-2020-00724-0003528.xlsx","FOIA-FWS-2020-00724-0003528.xlsx")</f>
        <v>FOIA-FWS-2020-00724-0003528.xlsx</v>
      </c>
    </row>
    <row r="3530" spans="1:12" ht="28.8" x14ac:dyDescent="0.55000000000000004">
      <c r="A3530" s="9" t="str">
        <f>HYPERLINK("PDF\FOIA-FWS-2020-00724-0003529.pdf","FOIA-FWS-2020-00724-0003529")</f>
        <v>FOIA-FWS-2020-00724-0003529</v>
      </c>
      <c r="B3530" s="3" t="s">
        <v>5551</v>
      </c>
      <c r="C3530" s="3" t="s">
        <v>3</v>
      </c>
      <c r="D3530" s="3" t="s">
        <v>33</v>
      </c>
      <c r="E3530" s="3" t="s">
        <v>5552</v>
      </c>
      <c r="F3530" s="4">
        <v>43854.613888888889</v>
      </c>
      <c r="G3530" s="3" t="s">
        <v>1332</v>
      </c>
      <c r="H3530" s="3" t="s">
        <v>1392</v>
      </c>
      <c r="I3530" s="3" t="s">
        <v>7043</v>
      </c>
      <c r="J3530" s="3"/>
      <c r="K3530" s="3"/>
      <c r="L3530" s="5"/>
    </row>
    <row r="3531" spans="1:12" ht="28.8" x14ac:dyDescent="0.55000000000000004">
      <c r="A3531" s="9" t="str">
        <f>HYPERLINK("PDF\FOIA-FWS-2020-00724-0003530.pdf","FOIA-FWS-2020-00724-0003530")</f>
        <v>FOIA-FWS-2020-00724-0003530</v>
      </c>
      <c r="B3531" s="3" t="s">
        <v>5553</v>
      </c>
      <c r="C3531" s="3" t="s">
        <v>3</v>
      </c>
      <c r="D3531" s="3" t="s">
        <v>33</v>
      </c>
      <c r="E3531" s="3" t="s">
        <v>5554</v>
      </c>
      <c r="F3531" s="4">
        <v>43854.628472222219</v>
      </c>
      <c r="G3531" s="3" t="s">
        <v>963</v>
      </c>
      <c r="H3531" s="3" t="s">
        <v>945</v>
      </c>
      <c r="I3531" s="3" t="s">
        <v>7043</v>
      </c>
      <c r="J3531" s="3"/>
      <c r="K3531" s="3"/>
      <c r="L3531" s="5"/>
    </row>
    <row r="3532" spans="1:12" ht="28.8" x14ac:dyDescent="0.55000000000000004">
      <c r="A3532" s="9" t="str">
        <f>HYPERLINK("PDF\FOIA-FWS-2020-00724-0003531.pdf","FOIA-FWS-2020-00724-0003531")</f>
        <v>FOIA-FWS-2020-00724-0003531</v>
      </c>
      <c r="B3532" s="3" t="s">
        <v>5553</v>
      </c>
      <c r="C3532" s="3" t="s">
        <v>234</v>
      </c>
      <c r="D3532" s="3" t="s">
        <v>38</v>
      </c>
      <c r="E3532" s="3" t="s">
        <v>5555</v>
      </c>
      <c r="F3532" s="4">
        <v>43854.628472222219</v>
      </c>
      <c r="G3532" s="3"/>
      <c r="H3532" s="3"/>
      <c r="I3532" s="3" t="s">
        <v>7043</v>
      </c>
      <c r="J3532" s="3"/>
      <c r="K3532" s="3"/>
      <c r="L3532" s="5"/>
    </row>
    <row r="3533" spans="1:12" ht="28.8" x14ac:dyDescent="0.55000000000000004">
      <c r="A3533" s="9" t="str">
        <f>HYPERLINK("PDF\FOIA-FWS-2020-00724-0003532.pdf","FOIA-FWS-2020-00724-0003532")</f>
        <v>FOIA-FWS-2020-00724-0003532</v>
      </c>
      <c r="B3533" s="3" t="s">
        <v>5553</v>
      </c>
      <c r="C3533" s="3" t="s">
        <v>234</v>
      </c>
      <c r="D3533" s="3" t="s">
        <v>38</v>
      </c>
      <c r="E3533" s="3" t="s">
        <v>5556</v>
      </c>
      <c r="F3533" s="4">
        <v>43854.628472222219</v>
      </c>
      <c r="G3533" s="3"/>
      <c r="H3533" s="3"/>
      <c r="I3533" s="3" t="s">
        <v>7043</v>
      </c>
      <c r="J3533" s="3"/>
      <c r="K3533" s="3"/>
      <c r="L3533" s="5"/>
    </row>
    <row r="3534" spans="1:12" ht="28.8" x14ac:dyDescent="0.55000000000000004">
      <c r="A3534" s="9" t="str">
        <f>HYPERLINK("PDF\FOIA-FWS-2020-00724-0003533.pdf","FOIA-FWS-2020-00724-0003533")</f>
        <v>FOIA-FWS-2020-00724-0003533</v>
      </c>
      <c r="B3534" s="3" t="s">
        <v>5553</v>
      </c>
      <c r="C3534" s="3" t="s">
        <v>234</v>
      </c>
      <c r="D3534" s="3" t="s">
        <v>38</v>
      </c>
      <c r="E3534" s="3" t="s">
        <v>5557</v>
      </c>
      <c r="F3534" s="4">
        <v>43854.628472222219</v>
      </c>
      <c r="G3534" s="3"/>
      <c r="H3534" s="3"/>
      <c r="I3534" s="3" t="s">
        <v>7043</v>
      </c>
      <c r="J3534" s="3"/>
      <c r="K3534" s="3"/>
      <c r="L3534" s="5"/>
    </row>
    <row r="3535" spans="1:12" ht="28.8" x14ac:dyDescent="0.55000000000000004">
      <c r="A3535" s="9" t="str">
        <f>HYPERLINK("PDF\FOIA-FWS-2020-00724-0003534.pdf","FOIA-FWS-2020-00724-0003534")</f>
        <v>FOIA-FWS-2020-00724-0003534</v>
      </c>
      <c r="B3535" s="3" t="s">
        <v>5553</v>
      </c>
      <c r="C3535" s="3" t="s">
        <v>234</v>
      </c>
      <c r="D3535" s="3" t="s">
        <v>38</v>
      </c>
      <c r="E3535" s="3" t="s">
        <v>5558</v>
      </c>
      <c r="F3535" s="4">
        <v>43854.628472222219</v>
      </c>
      <c r="G3535" s="3"/>
      <c r="H3535" s="3"/>
      <c r="I3535" s="3" t="s">
        <v>7043</v>
      </c>
      <c r="J3535" s="3"/>
      <c r="K3535" s="3"/>
      <c r="L3535" s="5"/>
    </row>
    <row r="3536" spans="1:12" ht="28.8" x14ac:dyDescent="0.55000000000000004">
      <c r="A3536" s="9" t="str">
        <f>HYPERLINK("PDF\FOIA-FWS-2020-00724-0003535.pdf","FOIA-FWS-2020-00724-0003535")</f>
        <v>FOIA-FWS-2020-00724-0003535</v>
      </c>
      <c r="B3536" s="3" t="s">
        <v>5553</v>
      </c>
      <c r="C3536" s="3" t="s">
        <v>234</v>
      </c>
      <c r="D3536" s="3" t="s">
        <v>38</v>
      </c>
      <c r="E3536" s="3" t="s">
        <v>5559</v>
      </c>
      <c r="F3536" s="4">
        <v>43854.628472222219</v>
      </c>
      <c r="G3536" s="3"/>
      <c r="H3536" s="3"/>
      <c r="I3536" s="3" t="s">
        <v>7043</v>
      </c>
      <c r="J3536" s="3"/>
      <c r="K3536" s="3"/>
      <c r="L3536" s="5"/>
    </row>
    <row r="3537" spans="1:12" ht="28.8" x14ac:dyDescent="0.55000000000000004">
      <c r="A3537" s="9" t="str">
        <f>HYPERLINK("PDF\FOIA-FWS-2020-00724-0003536.pdf","FOIA-FWS-2020-00724-0003536")</f>
        <v>FOIA-FWS-2020-00724-0003536</v>
      </c>
      <c r="B3537" s="3" t="s">
        <v>5553</v>
      </c>
      <c r="C3537" s="3" t="s">
        <v>234</v>
      </c>
      <c r="D3537" s="3" t="s">
        <v>38</v>
      </c>
      <c r="E3537" s="3" t="s">
        <v>5560</v>
      </c>
      <c r="F3537" s="4">
        <v>43854.628472222219</v>
      </c>
      <c r="G3537" s="3"/>
      <c r="H3537" s="3"/>
      <c r="I3537" s="3" t="s">
        <v>7043</v>
      </c>
      <c r="J3537" s="3"/>
      <c r="K3537" s="3"/>
      <c r="L3537" s="5"/>
    </row>
    <row r="3538" spans="1:12" ht="28.8" x14ac:dyDescent="0.55000000000000004">
      <c r="A3538" s="9" t="str">
        <f>HYPERLINK("PDF\FOIA-FWS-2020-00724-0003537.pdf","FOIA-FWS-2020-00724-0003537")</f>
        <v>FOIA-FWS-2020-00724-0003537</v>
      </c>
      <c r="B3538" s="3" t="s">
        <v>5553</v>
      </c>
      <c r="C3538" s="3" t="s">
        <v>234</v>
      </c>
      <c r="D3538" s="3" t="s">
        <v>38</v>
      </c>
      <c r="E3538" s="3" t="s">
        <v>5561</v>
      </c>
      <c r="F3538" s="4">
        <v>43854.628472222219</v>
      </c>
      <c r="G3538" s="3"/>
      <c r="H3538" s="3"/>
      <c r="I3538" s="3" t="s">
        <v>7043</v>
      </c>
      <c r="J3538" s="3"/>
      <c r="K3538" s="3"/>
      <c r="L3538" s="5"/>
    </row>
    <row r="3539" spans="1:12" ht="28.8" x14ac:dyDescent="0.55000000000000004">
      <c r="A3539" s="9" t="str">
        <f>HYPERLINK("PDF\FOIA-FWS-2020-00724-0003538.pdf","FOIA-FWS-2020-00724-0003538")</f>
        <v>FOIA-FWS-2020-00724-0003538</v>
      </c>
      <c r="B3539" s="3" t="s">
        <v>5562</v>
      </c>
      <c r="C3539" s="3" t="s">
        <v>3</v>
      </c>
      <c r="D3539" s="3" t="s">
        <v>33</v>
      </c>
      <c r="E3539" s="3" t="s">
        <v>5563</v>
      </c>
      <c r="F3539" s="4">
        <v>43854.636805555558</v>
      </c>
      <c r="G3539" s="3" t="s">
        <v>1392</v>
      </c>
      <c r="H3539" s="3" t="s">
        <v>1332</v>
      </c>
      <c r="I3539" s="3" t="s">
        <v>7043</v>
      </c>
      <c r="J3539" s="3"/>
      <c r="K3539" s="3"/>
      <c r="L3539" s="5"/>
    </row>
    <row r="3540" spans="1:12" ht="28.8" x14ac:dyDescent="0.55000000000000004">
      <c r="A3540" s="9" t="str">
        <f>HYPERLINK("PDF\FOIA-FWS-2020-00724-0003539.pdf","FOIA-FWS-2020-00724-0003539")</f>
        <v>FOIA-FWS-2020-00724-0003539</v>
      </c>
      <c r="B3540" s="3" t="s">
        <v>5564</v>
      </c>
      <c r="C3540" s="3" t="s">
        <v>3</v>
      </c>
      <c r="D3540" s="3" t="s">
        <v>33</v>
      </c>
      <c r="E3540" s="3" t="s">
        <v>5565</v>
      </c>
      <c r="F3540" s="4">
        <v>43854.772916666669</v>
      </c>
      <c r="G3540" s="3" t="s">
        <v>872</v>
      </c>
      <c r="H3540" s="3" t="s">
        <v>963</v>
      </c>
      <c r="I3540" s="3" t="s">
        <v>7043</v>
      </c>
      <c r="J3540" s="3"/>
      <c r="K3540" s="3"/>
      <c r="L3540" s="5"/>
    </row>
    <row r="3541" spans="1:12" ht="28.8" x14ac:dyDescent="0.55000000000000004">
      <c r="A3541" s="9" t="str">
        <f>HYPERLINK("PDF\FOIA-FWS-2020-00724-0003540.pdf","FOIA-FWS-2020-00724-0003540")</f>
        <v>FOIA-FWS-2020-00724-0003540</v>
      </c>
      <c r="B3541" s="3" t="s">
        <v>5564</v>
      </c>
      <c r="C3541" s="3" t="s">
        <v>234</v>
      </c>
      <c r="D3541" s="3" t="s">
        <v>33</v>
      </c>
      <c r="E3541" s="3" t="s">
        <v>5566</v>
      </c>
      <c r="F3541" s="4">
        <v>43854.772916666669</v>
      </c>
      <c r="G3541" s="3"/>
      <c r="H3541" s="3"/>
      <c r="I3541" s="3" t="s">
        <v>7043</v>
      </c>
      <c r="J3541" s="3"/>
      <c r="K3541" s="3"/>
      <c r="L3541" s="5"/>
    </row>
    <row r="3542" spans="1:12" ht="28.8" x14ac:dyDescent="0.55000000000000004">
      <c r="A3542" s="9" t="str">
        <f>HYPERLINK("PDF\FOIA-FWS-2020-00724-0003541.pdf","FOIA-FWS-2020-00724-0003541")</f>
        <v>FOIA-FWS-2020-00724-0003541</v>
      </c>
      <c r="B3542" s="3" t="s">
        <v>5567</v>
      </c>
      <c r="C3542" s="3" t="s">
        <v>3</v>
      </c>
      <c r="D3542" s="3" t="s">
        <v>33</v>
      </c>
      <c r="E3542" s="3" t="s">
        <v>5568</v>
      </c>
      <c r="F3542" s="4">
        <v>43854.780555555553</v>
      </c>
      <c r="G3542" s="3" t="s">
        <v>872</v>
      </c>
      <c r="H3542" s="3" t="s">
        <v>1392</v>
      </c>
      <c r="I3542" s="3" t="s">
        <v>7043</v>
      </c>
      <c r="J3542" s="3"/>
      <c r="K3542" s="3"/>
      <c r="L3542" s="5"/>
    </row>
    <row r="3543" spans="1:12" ht="28.8" x14ac:dyDescent="0.55000000000000004">
      <c r="A3543" s="9" t="str">
        <f>HYPERLINK("PDF\FOIA-FWS-2020-00724-0003542.pdf","FOIA-FWS-2020-00724-0003542")</f>
        <v>FOIA-FWS-2020-00724-0003542</v>
      </c>
      <c r="B3543" s="3" t="s">
        <v>5567</v>
      </c>
      <c r="C3543" s="3" t="s">
        <v>234</v>
      </c>
      <c r="D3543" s="3" t="s">
        <v>33</v>
      </c>
      <c r="E3543" s="3" t="s">
        <v>5569</v>
      </c>
      <c r="F3543" s="4">
        <v>43854.780555555553</v>
      </c>
      <c r="G3543" s="3"/>
      <c r="H3543" s="3"/>
      <c r="I3543" s="3" t="s">
        <v>7043</v>
      </c>
      <c r="J3543" s="3"/>
      <c r="K3543" s="3"/>
      <c r="L3543" s="5"/>
    </row>
    <row r="3544" spans="1:12" ht="28.8" x14ac:dyDescent="0.55000000000000004">
      <c r="A3544" s="9" t="str">
        <f>HYPERLINK("PDF\FOIA-FWS-2020-00724-0003543.pdf","FOIA-FWS-2020-00724-0003543")</f>
        <v>FOIA-FWS-2020-00724-0003543</v>
      </c>
      <c r="B3544" s="3" t="s">
        <v>5570</v>
      </c>
      <c r="C3544" s="3" t="s">
        <v>3</v>
      </c>
      <c r="D3544" s="3" t="s">
        <v>33</v>
      </c>
      <c r="E3544" s="3" t="s">
        <v>5571</v>
      </c>
      <c r="F3544" s="4">
        <v>43854.800694444442</v>
      </c>
      <c r="G3544" s="3" t="s">
        <v>861</v>
      </c>
      <c r="H3544" s="3" t="s">
        <v>872</v>
      </c>
      <c r="I3544" s="3" t="s">
        <v>7043</v>
      </c>
      <c r="J3544" s="3"/>
      <c r="K3544" s="3"/>
      <c r="L3544" s="5"/>
    </row>
    <row r="3545" spans="1:12" ht="28.8" x14ac:dyDescent="0.55000000000000004">
      <c r="A3545" s="9" t="str">
        <f>HYPERLINK("PDF\FOIA-FWS-2020-00724-0003544.pdf","FOIA-FWS-2020-00724-0003544")</f>
        <v>FOIA-FWS-2020-00724-0003544</v>
      </c>
      <c r="B3545" s="3" t="s">
        <v>5570</v>
      </c>
      <c r="C3545" s="3" t="s">
        <v>234</v>
      </c>
      <c r="D3545" s="3" t="s">
        <v>33</v>
      </c>
      <c r="E3545" s="3" t="s">
        <v>5572</v>
      </c>
      <c r="F3545" s="4">
        <v>43854.800694444442</v>
      </c>
      <c r="G3545" s="3"/>
      <c r="H3545" s="3"/>
      <c r="I3545" s="3" t="s">
        <v>7043</v>
      </c>
      <c r="J3545" s="3"/>
      <c r="K3545" s="3"/>
      <c r="L3545" s="5"/>
    </row>
    <row r="3546" spans="1:12" ht="28.8" x14ac:dyDescent="0.55000000000000004">
      <c r="A3546" s="9" t="str">
        <f>HYPERLINK("PDF\FOIA-FWS-2020-00724-0003545.pdf","FOIA-FWS-2020-00724-0003545")</f>
        <v>FOIA-FWS-2020-00724-0003545</v>
      </c>
      <c r="B3546" s="3" t="s">
        <v>5573</v>
      </c>
      <c r="C3546" s="3" t="s">
        <v>3</v>
      </c>
      <c r="D3546" s="3" t="s">
        <v>33</v>
      </c>
      <c r="E3546" s="3" t="s">
        <v>5571</v>
      </c>
      <c r="F3546" s="4">
        <v>43854.8125</v>
      </c>
      <c r="G3546" s="3" t="s">
        <v>861</v>
      </c>
      <c r="H3546" s="3" t="s">
        <v>872</v>
      </c>
      <c r="I3546" s="3" t="s">
        <v>7043</v>
      </c>
      <c r="J3546" s="3"/>
      <c r="K3546" s="3"/>
      <c r="L3546" s="5"/>
    </row>
    <row r="3547" spans="1:12" ht="28.8" x14ac:dyDescent="0.55000000000000004">
      <c r="A3547" s="9" t="str">
        <f>HYPERLINK("PDF\FOIA-FWS-2020-00724-0003546.pdf","FOIA-FWS-2020-00724-0003546")</f>
        <v>FOIA-FWS-2020-00724-0003546</v>
      </c>
      <c r="B3547" s="3" t="s">
        <v>5573</v>
      </c>
      <c r="C3547" s="3" t="s">
        <v>234</v>
      </c>
      <c r="D3547" s="3" t="s">
        <v>33</v>
      </c>
      <c r="E3547" s="3" t="s">
        <v>5457</v>
      </c>
      <c r="F3547" s="4">
        <v>43854.8125</v>
      </c>
      <c r="G3547" s="3"/>
      <c r="H3547" s="3"/>
      <c r="I3547" s="3" t="s">
        <v>7043</v>
      </c>
      <c r="J3547" s="3"/>
      <c r="K3547" s="3"/>
      <c r="L3547" s="5"/>
    </row>
    <row r="3548" spans="1:12" ht="57.6" x14ac:dyDescent="0.55000000000000004">
      <c r="A3548" s="9" t="str">
        <f>HYPERLINK("PDF\FOIA-FWS-2020-00724-0003547.pdf","FOIA-FWS-2020-00724-0003547")</f>
        <v>FOIA-FWS-2020-00724-0003547</v>
      </c>
      <c r="B3548" s="3" t="s">
        <v>5574</v>
      </c>
      <c r="C3548" s="3" t="s">
        <v>3</v>
      </c>
      <c r="D3548" s="3" t="s">
        <v>33</v>
      </c>
      <c r="E3548" s="3" t="s">
        <v>5575</v>
      </c>
      <c r="F3548" s="4">
        <v>43856.60833333333</v>
      </c>
      <c r="G3548" s="3" t="s">
        <v>872</v>
      </c>
      <c r="H3548" s="3" t="s">
        <v>955</v>
      </c>
      <c r="I3548" s="3" t="s">
        <v>7043</v>
      </c>
      <c r="J3548" s="3"/>
      <c r="K3548" s="3"/>
      <c r="L3548" s="5"/>
    </row>
    <row r="3549" spans="1:12" ht="28.8" x14ac:dyDescent="0.55000000000000004">
      <c r="A3549" s="9" t="str">
        <f>HYPERLINK("PDF\FOIA-FWS-2020-00724-0003548.pdf","FOIA-FWS-2020-00724-0003548")</f>
        <v>FOIA-FWS-2020-00724-0003548</v>
      </c>
      <c r="B3549" s="3" t="s">
        <v>5576</v>
      </c>
      <c r="C3549" s="3" t="s">
        <v>3</v>
      </c>
      <c r="D3549" s="3" t="s">
        <v>4</v>
      </c>
      <c r="E3549" s="3" t="s">
        <v>5577</v>
      </c>
      <c r="F3549" s="4">
        <v>43857</v>
      </c>
      <c r="G3549" s="3"/>
      <c r="H3549" s="3"/>
      <c r="I3549" s="3" t="s">
        <v>7043</v>
      </c>
      <c r="J3549" s="3"/>
      <c r="K3549" s="3"/>
      <c r="L3549" s="5"/>
    </row>
    <row r="3550" spans="1:12" ht="28.8" x14ac:dyDescent="0.55000000000000004">
      <c r="A3550" s="9" t="str">
        <f>HYPERLINK("PDF\FOIA-FWS-2020-00724-0003549.pdf","FOIA-FWS-2020-00724-0003549")</f>
        <v>FOIA-FWS-2020-00724-0003549</v>
      </c>
      <c r="B3550" s="3" t="s">
        <v>5578</v>
      </c>
      <c r="C3550" s="3" t="s">
        <v>3</v>
      </c>
      <c r="D3550" s="3" t="s">
        <v>33</v>
      </c>
      <c r="E3550" s="3" t="s">
        <v>5580</v>
      </c>
      <c r="F3550" s="4">
        <v>43857.643750000003</v>
      </c>
      <c r="G3550" s="3" t="s">
        <v>955</v>
      </c>
      <c r="H3550" s="3" t="s">
        <v>5579</v>
      </c>
      <c r="I3550" s="3" t="s">
        <v>7043</v>
      </c>
      <c r="J3550" s="3"/>
      <c r="K3550" s="3"/>
      <c r="L3550" s="5"/>
    </row>
    <row r="3551" spans="1:12" ht="86.4" x14ac:dyDescent="0.55000000000000004">
      <c r="A3551" s="9" t="str">
        <f>HYPERLINK("PDF\FOIA-FWS-2020-00724-0003550.pdf","FOIA-FWS-2020-00724-0003550")</f>
        <v>FOIA-FWS-2020-00724-0003550</v>
      </c>
      <c r="B3551" s="3" t="s">
        <v>5581</v>
      </c>
      <c r="C3551" s="3" t="s">
        <v>3</v>
      </c>
      <c r="D3551" s="3" t="s">
        <v>33</v>
      </c>
      <c r="E3551" s="3" t="s">
        <v>5583</v>
      </c>
      <c r="F3551" s="4">
        <v>43857.656944444447</v>
      </c>
      <c r="G3551" s="3" t="s">
        <v>919</v>
      </c>
      <c r="H3551" s="3" t="s">
        <v>5582</v>
      </c>
      <c r="I3551" s="3" t="s">
        <v>7043</v>
      </c>
      <c r="J3551" s="3"/>
      <c r="K3551" s="3"/>
      <c r="L3551" s="5"/>
    </row>
    <row r="3552" spans="1:12" ht="28.8" x14ac:dyDescent="0.55000000000000004">
      <c r="A3552" s="9" t="str">
        <f>HYPERLINK("PDF\FOIA-FWS-2020-00724-0003551.pdf","FOIA-FWS-2020-00724-0003551")</f>
        <v>FOIA-FWS-2020-00724-0003551</v>
      </c>
      <c r="B3552" s="3" t="s">
        <v>5581</v>
      </c>
      <c r="C3552" s="3" t="s">
        <v>234</v>
      </c>
      <c r="D3552" s="3" t="s">
        <v>33</v>
      </c>
      <c r="E3552" s="3" t="s">
        <v>5584</v>
      </c>
      <c r="F3552" s="4">
        <v>43857.656944444447</v>
      </c>
      <c r="G3552" s="3"/>
      <c r="H3552" s="3"/>
      <c r="I3552" s="3" t="s">
        <v>7043</v>
      </c>
      <c r="J3552" s="3"/>
      <c r="K3552" s="3"/>
      <c r="L3552" s="5"/>
    </row>
    <row r="3553" spans="1:12" ht="28.8" x14ac:dyDescent="0.55000000000000004">
      <c r="A3553" s="9" t="str">
        <f>HYPERLINK("PDF\FOIA-FWS-2020-00724-0003552.pdf","FOIA-FWS-2020-00724-0003552")</f>
        <v>FOIA-FWS-2020-00724-0003552</v>
      </c>
      <c r="B3553" s="3" t="s">
        <v>5585</v>
      </c>
      <c r="C3553" s="3" t="s">
        <v>3</v>
      </c>
      <c r="D3553" s="3" t="s">
        <v>33</v>
      </c>
      <c r="E3553" s="3" t="s">
        <v>5587</v>
      </c>
      <c r="F3553" s="4">
        <v>43857.745138888888</v>
      </c>
      <c r="G3553" s="3" t="s">
        <v>955</v>
      </c>
      <c r="H3553" s="3" t="s">
        <v>5586</v>
      </c>
      <c r="I3553" s="3" t="s">
        <v>7043</v>
      </c>
      <c r="J3553" s="3"/>
      <c r="K3553" s="3"/>
      <c r="L3553" s="5"/>
    </row>
    <row r="3554" spans="1:12" ht="28.8" x14ac:dyDescent="0.55000000000000004">
      <c r="A3554" s="9" t="str">
        <f>HYPERLINK("PDF\FOIA-FWS-2020-00724-0003553.pdf","FOIA-FWS-2020-00724-0003553")</f>
        <v>FOIA-FWS-2020-00724-0003553</v>
      </c>
      <c r="B3554" s="3" t="s">
        <v>5588</v>
      </c>
      <c r="C3554" s="3" t="s">
        <v>3</v>
      </c>
      <c r="D3554" s="3" t="s">
        <v>33</v>
      </c>
      <c r="E3554" s="3" t="s">
        <v>5589</v>
      </c>
      <c r="F3554" s="4">
        <v>43857.748611111114</v>
      </c>
      <c r="G3554" s="3" t="s">
        <v>955</v>
      </c>
      <c r="H3554" s="3" t="s">
        <v>1392</v>
      </c>
      <c r="I3554" s="3" t="s">
        <v>7043</v>
      </c>
      <c r="J3554" s="3"/>
      <c r="K3554" s="3"/>
      <c r="L3554" s="5"/>
    </row>
    <row r="3555" spans="1:12" ht="28.8" x14ac:dyDescent="0.55000000000000004">
      <c r="A3555" s="9" t="str">
        <f>HYPERLINK("PDF\FOIA-FWS-2020-00724-0003554.pdf","FOIA-FWS-2020-00724-0003554")</f>
        <v>FOIA-FWS-2020-00724-0003554</v>
      </c>
      <c r="B3555" s="3" t="s">
        <v>5590</v>
      </c>
      <c r="C3555" s="3" t="s">
        <v>3</v>
      </c>
      <c r="D3555" s="3" t="s">
        <v>33</v>
      </c>
      <c r="E3555" s="3" t="s">
        <v>5592</v>
      </c>
      <c r="F3555" s="4">
        <v>43857.836111111108</v>
      </c>
      <c r="G3555" s="3" t="s">
        <v>2246</v>
      </c>
      <c r="H3555" s="3" t="s">
        <v>5591</v>
      </c>
      <c r="I3555" s="3" t="s">
        <v>7043</v>
      </c>
      <c r="J3555" s="3"/>
      <c r="K3555" s="3"/>
      <c r="L3555" s="5"/>
    </row>
    <row r="3556" spans="1:12" ht="28.8" x14ac:dyDescent="0.55000000000000004">
      <c r="A3556" s="9" t="str">
        <f>HYPERLINK("PDF\FOIA-FWS-2020-00724-0003555.pdf","FOIA-FWS-2020-00724-0003555")</f>
        <v>FOIA-FWS-2020-00724-0003555</v>
      </c>
      <c r="B3556" s="3" t="s">
        <v>5590</v>
      </c>
      <c r="C3556" s="3" t="s">
        <v>234</v>
      </c>
      <c r="D3556" s="3" t="s">
        <v>33</v>
      </c>
      <c r="E3556" s="3" t="s">
        <v>5593</v>
      </c>
      <c r="F3556" s="4">
        <v>43857.836111111108</v>
      </c>
      <c r="G3556" s="3"/>
      <c r="H3556" s="3"/>
      <c r="I3556" s="3" t="s">
        <v>7043</v>
      </c>
      <c r="J3556" s="3"/>
      <c r="K3556" s="3"/>
      <c r="L3556" s="5" t="str">
        <f>HYPERLINK("NATIVE_FILES\FOIA-FWS-2020-00724-0003555.xlsx","FOIA-FWS-2020-00724-0003555.xlsx")</f>
        <v>FOIA-FWS-2020-00724-0003555.xlsx</v>
      </c>
    </row>
    <row r="3557" spans="1:12" ht="86.4" x14ac:dyDescent="0.55000000000000004">
      <c r="A3557" s="9" t="str">
        <f>HYPERLINK("PDF\FOIA-FWS-2020-00724-0003556.pdf","FOIA-FWS-2020-00724-0003556")</f>
        <v>FOIA-FWS-2020-00724-0003556</v>
      </c>
      <c r="B3557" s="3" t="s">
        <v>5594</v>
      </c>
      <c r="C3557" s="3" t="s">
        <v>3</v>
      </c>
      <c r="D3557" s="3" t="s">
        <v>33</v>
      </c>
      <c r="E3557" s="3" t="s">
        <v>5596</v>
      </c>
      <c r="F3557" s="4">
        <v>43858.554861111108</v>
      </c>
      <c r="G3557" s="3" t="s">
        <v>872</v>
      </c>
      <c r="H3557" s="3" t="s">
        <v>5595</v>
      </c>
      <c r="I3557" s="3" t="s">
        <v>7043</v>
      </c>
      <c r="J3557" s="3"/>
      <c r="K3557" s="3"/>
      <c r="L3557" s="5"/>
    </row>
    <row r="3558" spans="1:12" ht="28.8" x14ac:dyDescent="0.55000000000000004">
      <c r="A3558" s="9" t="str">
        <f>HYPERLINK("PDF\FOIA-FWS-2020-00724-0003557.pdf","FOIA-FWS-2020-00724-0003557")</f>
        <v>FOIA-FWS-2020-00724-0003557</v>
      </c>
      <c r="B3558" s="3" t="s">
        <v>5597</v>
      </c>
      <c r="C3558" s="3" t="s">
        <v>3</v>
      </c>
      <c r="D3558" s="3" t="s">
        <v>33</v>
      </c>
      <c r="E3558" s="3" t="s">
        <v>5598</v>
      </c>
      <c r="F3558" s="4">
        <v>43858.560416666667</v>
      </c>
      <c r="G3558" s="3" t="s">
        <v>1392</v>
      </c>
      <c r="H3558" s="3" t="s">
        <v>963</v>
      </c>
      <c r="I3558" s="3" t="s">
        <v>7043</v>
      </c>
      <c r="J3558" s="3"/>
      <c r="K3558" s="3"/>
      <c r="L3558" s="5"/>
    </row>
    <row r="3559" spans="1:12" ht="28.8" x14ac:dyDescent="0.55000000000000004">
      <c r="A3559" s="9" t="str">
        <f>HYPERLINK("PDF\FOIA-FWS-2020-00724-0003558.pdf","FOIA-FWS-2020-00724-0003558")</f>
        <v>FOIA-FWS-2020-00724-0003558</v>
      </c>
      <c r="B3559" s="3" t="s">
        <v>5597</v>
      </c>
      <c r="C3559" s="3" t="s">
        <v>234</v>
      </c>
      <c r="D3559" s="3" t="s">
        <v>33</v>
      </c>
      <c r="E3559" s="3" t="s">
        <v>5599</v>
      </c>
      <c r="F3559" s="4">
        <v>43858.560416666667</v>
      </c>
      <c r="G3559" s="3"/>
      <c r="H3559" s="3"/>
      <c r="I3559" s="3" t="s">
        <v>7043</v>
      </c>
      <c r="J3559" s="3"/>
      <c r="K3559" s="3"/>
      <c r="L3559" s="5" t="str">
        <f>HYPERLINK("NATIVE_FILES\FOIA-FWS-2020-00724-0003558.xlsx","FOIA-FWS-2020-00724-0003558.xlsx")</f>
        <v>FOIA-FWS-2020-00724-0003558.xlsx</v>
      </c>
    </row>
    <row r="3560" spans="1:12" ht="28.8" x14ac:dyDescent="0.55000000000000004">
      <c r="A3560" s="9" t="str">
        <f>HYPERLINK("PDF\FOIA-FWS-2020-00724-0003559.pdf","FOIA-FWS-2020-00724-0003559")</f>
        <v>FOIA-FWS-2020-00724-0003559</v>
      </c>
      <c r="B3560" s="3" t="s">
        <v>5600</v>
      </c>
      <c r="C3560" s="3" t="s">
        <v>3</v>
      </c>
      <c r="D3560" s="3" t="s">
        <v>33</v>
      </c>
      <c r="E3560" s="3" t="s">
        <v>5601</v>
      </c>
      <c r="F3560" s="4">
        <v>43858.567361111112</v>
      </c>
      <c r="G3560" s="3" t="s">
        <v>872</v>
      </c>
      <c r="H3560" s="3" t="s">
        <v>955</v>
      </c>
      <c r="I3560" s="3" t="s">
        <v>7043</v>
      </c>
      <c r="J3560" s="3"/>
      <c r="K3560" s="3"/>
      <c r="L3560" s="5"/>
    </row>
    <row r="3561" spans="1:12" ht="28.8" x14ac:dyDescent="0.55000000000000004">
      <c r="A3561" s="9" t="str">
        <f>HYPERLINK("PDF\FOIA-FWS-2020-00724-0003560.pdf","FOIA-FWS-2020-00724-0003560")</f>
        <v>FOIA-FWS-2020-00724-0003560</v>
      </c>
      <c r="B3561" s="3" t="s">
        <v>5602</v>
      </c>
      <c r="C3561" s="3" t="s">
        <v>3</v>
      </c>
      <c r="D3561" s="3" t="s">
        <v>33</v>
      </c>
      <c r="E3561" s="3" t="s">
        <v>5301</v>
      </c>
      <c r="F3561" s="4">
        <v>43858.580555555556</v>
      </c>
      <c r="G3561" s="3" t="s">
        <v>5274</v>
      </c>
      <c r="H3561" s="3" t="s">
        <v>945</v>
      </c>
      <c r="I3561" s="3" t="s">
        <v>7043</v>
      </c>
      <c r="J3561" s="3"/>
      <c r="K3561" s="3"/>
      <c r="L3561" s="5"/>
    </row>
    <row r="3562" spans="1:12" ht="28.8" x14ac:dyDescent="0.55000000000000004">
      <c r="A3562" s="9" t="str">
        <f>HYPERLINK("PDF\FOIA-FWS-2020-00724-0003561.pdf","FOIA-FWS-2020-00724-0003561")</f>
        <v>FOIA-FWS-2020-00724-0003561</v>
      </c>
      <c r="B3562" s="3" t="s">
        <v>5603</v>
      </c>
      <c r="C3562" s="3" t="s">
        <v>3</v>
      </c>
      <c r="D3562" s="3" t="s">
        <v>33</v>
      </c>
      <c r="E3562" s="3" t="s">
        <v>5605</v>
      </c>
      <c r="F3562" s="4">
        <v>43858.602777777778</v>
      </c>
      <c r="G3562" s="3" t="s">
        <v>919</v>
      </c>
      <c r="H3562" s="3" t="s">
        <v>5604</v>
      </c>
      <c r="I3562" s="3" t="s">
        <v>7043</v>
      </c>
      <c r="J3562" s="3"/>
      <c r="K3562" s="3"/>
      <c r="L3562" s="5"/>
    </row>
    <row r="3563" spans="1:12" ht="28.8" x14ac:dyDescent="0.55000000000000004">
      <c r="A3563" s="9" t="str">
        <f>HYPERLINK("PDF\FOIA-FWS-2020-00724-0003562.pdf","FOIA-FWS-2020-00724-0003562")</f>
        <v>FOIA-FWS-2020-00724-0003562</v>
      </c>
      <c r="B3563" s="3" t="s">
        <v>5606</v>
      </c>
      <c r="C3563" s="3" t="s">
        <v>3</v>
      </c>
      <c r="D3563" s="3" t="s">
        <v>33</v>
      </c>
      <c r="E3563" s="3" t="s">
        <v>5607</v>
      </c>
      <c r="F3563" s="4">
        <v>43858.611805555556</v>
      </c>
      <c r="G3563" s="3" t="s">
        <v>1392</v>
      </c>
      <c r="H3563" s="3" t="s">
        <v>2782</v>
      </c>
      <c r="I3563" s="3" t="s">
        <v>7043</v>
      </c>
      <c r="J3563" s="3"/>
      <c r="K3563" s="3"/>
      <c r="L3563" s="5"/>
    </row>
    <row r="3564" spans="1:12" ht="28.8" x14ac:dyDescent="0.55000000000000004">
      <c r="A3564" s="9" t="str">
        <f>HYPERLINK("PDF\FOIA-FWS-2020-00724-0003563.pdf","FOIA-FWS-2020-00724-0003563")</f>
        <v>FOIA-FWS-2020-00724-0003563</v>
      </c>
      <c r="B3564" s="3" t="s">
        <v>5608</v>
      </c>
      <c r="C3564" s="3" t="s">
        <v>3</v>
      </c>
      <c r="D3564" s="3" t="s">
        <v>33</v>
      </c>
      <c r="E3564" s="3" t="s">
        <v>5609</v>
      </c>
      <c r="F3564" s="4">
        <v>43858.742361111108</v>
      </c>
      <c r="G3564" s="3" t="s">
        <v>1392</v>
      </c>
      <c r="H3564" s="3" t="s">
        <v>872</v>
      </c>
      <c r="I3564" s="3" t="s">
        <v>7043</v>
      </c>
      <c r="J3564" s="3"/>
      <c r="K3564" s="3"/>
      <c r="L3564" s="5"/>
    </row>
    <row r="3565" spans="1:12" ht="28.8" x14ac:dyDescent="0.55000000000000004">
      <c r="A3565" s="9" t="str">
        <f>HYPERLINK("PDF\FOIA-FWS-2020-00724-0003564.pdf","FOIA-FWS-2020-00724-0003564")</f>
        <v>FOIA-FWS-2020-00724-0003564</v>
      </c>
      <c r="B3565" s="3" t="s">
        <v>5610</v>
      </c>
      <c r="C3565" s="3" t="s">
        <v>3</v>
      </c>
      <c r="D3565" s="3" t="s">
        <v>33</v>
      </c>
      <c r="E3565" s="3" t="s">
        <v>5612</v>
      </c>
      <c r="F3565" s="4">
        <v>43858.801388888889</v>
      </c>
      <c r="G3565" s="3" t="s">
        <v>872</v>
      </c>
      <c r="H3565" s="3" t="s">
        <v>5611</v>
      </c>
      <c r="I3565" s="3" t="s">
        <v>7043</v>
      </c>
      <c r="J3565" s="3"/>
      <c r="K3565" s="3"/>
      <c r="L3565" s="5"/>
    </row>
    <row r="3566" spans="1:12" ht="28.8" x14ac:dyDescent="0.55000000000000004">
      <c r="A3566" s="9" t="str">
        <f>HYPERLINK("PDF\FOIA-FWS-2020-00724-0003565.pdf","FOIA-FWS-2020-00724-0003565")</f>
        <v>FOIA-FWS-2020-00724-0003565</v>
      </c>
      <c r="B3566" s="3" t="s">
        <v>5613</v>
      </c>
      <c r="C3566" s="3" t="s">
        <v>3</v>
      </c>
      <c r="D3566" s="3" t="s">
        <v>33</v>
      </c>
      <c r="E3566" s="3" t="s">
        <v>5614</v>
      </c>
      <c r="F3566" s="4">
        <v>43859</v>
      </c>
      <c r="G3566" s="3"/>
      <c r="H3566" s="3"/>
      <c r="I3566" s="3" t="s">
        <v>7043</v>
      </c>
      <c r="J3566" s="3"/>
      <c r="K3566" s="3"/>
      <c r="L3566" s="5"/>
    </row>
    <row r="3567" spans="1:12" ht="28.8" x14ac:dyDescent="0.55000000000000004">
      <c r="A3567" s="9" t="str">
        <f>HYPERLINK("PDF\FOIA-FWS-2020-00724-0003566.pdf","FOIA-FWS-2020-00724-0003566")</f>
        <v>FOIA-FWS-2020-00724-0003566</v>
      </c>
      <c r="B3567" s="3" t="s">
        <v>5615</v>
      </c>
      <c r="C3567" s="3" t="s">
        <v>3</v>
      </c>
      <c r="D3567" s="3" t="s">
        <v>33</v>
      </c>
      <c r="E3567" s="3" t="s">
        <v>5616</v>
      </c>
      <c r="F3567" s="4">
        <v>43859</v>
      </c>
      <c r="G3567" s="3"/>
      <c r="H3567" s="3"/>
      <c r="I3567" s="3" t="s">
        <v>7043</v>
      </c>
      <c r="J3567" s="3"/>
      <c r="K3567" s="3"/>
      <c r="L3567" s="5"/>
    </row>
    <row r="3568" spans="1:12" ht="57.6" x14ac:dyDescent="0.55000000000000004">
      <c r="A3568" s="9" t="str">
        <f>HYPERLINK("PDF\FOIA-FWS-2020-00724-0003567.pdf","FOIA-FWS-2020-00724-0003567")</f>
        <v>FOIA-FWS-2020-00724-0003567</v>
      </c>
      <c r="B3568" s="3" t="s">
        <v>5617</v>
      </c>
      <c r="C3568" s="3" t="s">
        <v>3</v>
      </c>
      <c r="D3568" s="3" t="s">
        <v>33</v>
      </c>
      <c r="E3568" s="3" t="s">
        <v>5618</v>
      </c>
      <c r="F3568" s="4">
        <v>43859</v>
      </c>
      <c r="G3568" s="3" t="s">
        <v>388</v>
      </c>
      <c r="H3568" s="3" t="s">
        <v>876</v>
      </c>
      <c r="I3568" s="3" t="s">
        <v>7043</v>
      </c>
      <c r="J3568" s="3"/>
      <c r="K3568" s="3"/>
      <c r="L3568" s="5"/>
    </row>
    <row r="3569" spans="1:12" ht="28.8" x14ac:dyDescent="0.55000000000000004">
      <c r="A3569" s="9" t="str">
        <f>HYPERLINK("PDF\FOIA-FWS-2020-00724-0003568.pdf","FOIA-FWS-2020-00724-0003568")</f>
        <v>FOIA-FWS-2020-00724-0003568</v>
      </c>
      <c r="B3569" s="3" t="s">
        <v>5619</v>
      </c>
      <c r="C3569" s="3" t="s">
        <v>3</v>
      </c>
      <c r="D3569" s="3" t="s">
        <v>33</v>
      </c>
      <c r="E3569" s="3" t="s">
        <v>5620</v>
      </c>
      <c r="F3569" s="4">
        <v>43859.5</v>
      </c>
      <c r="G3569" s="3" t="s">
        <v>963</v>
      </c>
      <c r="H3569" s="3" t="s">
        <v>1332</v>
      </c>
      <c r="I3569" s="3" t="s">
        <v>7043</v>
      </c>
      <c r="J3569" s="3"/>
      <c r="K3569" s="3"/>
      <c r="L3569" s="5"/>
    </row>
    <row r="3570" spans="1:12" ht="28.8" x14ac:dyDescent="0.55000000000000004">
      <c r="A3570" s="9" t="str">
        <f>HYPERLINK("PDF\FOIA-FWS-2020-00724-0003569.pdf","FOIA-FWS-2020-00724-0003569")</f>
        <v>FOIA-FWS-2020-00724-0003569</v>
      </c>
      <c r="B3570" s="3" t="s">
        <v>5621</v>
      </c>
      <c r="C3570" s="3" t="s">
        <v>3</v>
      </c>
      <c r="D3570" s="3" t="s">
        <v>33</v>
      </c>
      <c r="E3570" s="3" t="s">
        <v>5622</v>
      </c>
      <c r="F3570" s="4">
        <v>43859.519444444442</v>
      </c>
      <c r="G3570" s="3" t="s">
        <v>919</v>
      </c>
      <c r="H3570" s="3" t="s">
        <v>872</v>
      </c>
      <c r="I3570" s="3" t="s">
        <v>7043</v>
      </c>
      <c r="J3570" s="3"/>
      <c r="K3570" s="3"/>
      <c r="L3570" s="5"/>
    </row>
    <row r="3571" spans="1:12" ht="28.8" x14ac:dyDescent="0.55000000000000004">
      <c r="A3571" s="9" t="str">
        <f>HYPERLINK("PDF\FOIA-FWS-2020-00724-0003570.pdf","FOIA-FWS-2020-00724-0003570")</f>
        <v>FOIA-FWS-2020-00724-0003570</v>
      </c>
      <c r="B3571" s="3" t="s">
        <v>5623</v>
      </c>
      <c r="C3571" s="3" t="s">
        <v>3</v>
      </c>
      <c r="D3571" s="3" t="s">
        <v>33</v>
      </c>
      <c r="E3571" s="3" t="s">
        <v>5624</v>
      </c>
      <c r="F3571" s="4">
        <v>43859.580555555556</v>
      </c>
      <c r="G3571" s="3" t="s">
        <v>963</v>
      </c>
      <c r="H3571" s="3" t="s">
        <v>945</v>
      </c>
      <c r="I3571" s="3" t="s">
        <v>7043</v>
      </c>
      <c r="J3571" s="3"/>
      <c r="K3571" s="3"/>
      <c r="L3571" s="5"/>
    </row>
    <row r="3572" spans="1:12" ht="28.8" x14ac:dyDescent="0.55000000000000004">
      <c r="A3572" s="9" t="str">
        <f>HYPERLINK("PDF\FOIA-FWS-2020-00724-0003571.pdf","FOIA-FWS-2020-00724-0003571")</f>
        <v>FOIA-FWS-2020-00724-0003571</v>
      </c>
      <c r="B3572" s="3" t="s">
        <v>5623</v>
      </c>
      <c r="C3572" s="3" t="s">
        <v>234</v>
      </c>
      <c r="D3572" s="3" t="s">
        <v>38</v>
      </c>
      <c r="E3572" s="3" t="s">
        <v>5477</v>
      </c>
      <c r="F3572" s="4">
        <v>43859.580555555556</v>
      </c>
      <c r="G3572" s="3"/>
      <c r="H3572" s="3"/>
      <c r="I3572" s="3" t="s">
        <v>7043</v>
      </c>
      <c r="J3572" s="3"/>
      <c r="K3572" s="3"/>
      <c r="L3572" s="5"/>
    </row>
    <row r="3573" spans="1:12" ht="28.8" x14ac:dyDescent="0.55000000000000004">
      <c r="A3573" s="9" t="str">
        <f>HYPERLINK("PDF\FOIA-FWS-2020-00724-0003572.pdf","FOIA-FWS-2020-00724-0003572")</f>
        <v>FOIA-FWS-2020-00724-0003572</v>
      </c>
      <c r="B3573" s="3" t="s">
        <v>5625</v>
      </c>
      <c r="C3573" s="3" t="s">
        <v>3</v>
      </c>
      <c r="D3573" s="3" t="s">
        <v>33</v>
      </c>
      <c r="E3573" s="3" t="s">
        <v>5580</v>
      </c>
      <c r="F3573" s="4">
        <v>43859.584722222222</v>
      </c>
      <c r="G3573" s="3" t="s">
        <v>955</v>
      </c>
      <c r="H3573" s="3" t="s">
        <v>5626</v>
      </c>
      <c r="I3573" s="3" t="s">
        <v>7043</v>
      </c>
      <c r="J3573" s="3"/>
      <c r="K3573" s="3"/>
      <c r="L3573" s="5"/>
    </row>
    <row r="3574" spans="1:12" ht="28.8" x14ac:dyDescent="0.55000000000000004">
      <c r="A3574" s="9" t="str">
        <f>HYPERLINK("PDF\FOIA-FWS-2020-00724-0003573.pdf","FOIA-FWS-2020-00724-0003573")</f>
        <v>FOIA-FWS-2020-00724-0003573</v>
      </c>
      <c r="B3574" s="3" t="s">
        <v>5625</v>
      </c>
      <c r="C3574" s="3" t="s">
        <v>234</v>
      </c>
      <c r="D3574" s="3" t="s">
        <v>38</v>
      </c>
      <c r="E3574" s="3" t="s">
        <v>5245</v>
      </c>
      <c r="F3574" s="4">
        <v>43859.584722222222</v>
      </c>
      <c r="G3574" s="3"/>
      <c r="H3574" s="3"/>
      <c r="I3574" s="3" t="s">
        <v>7043</v>
      </c>
      <c r="J3574" s="3"/>
      <c r="K3574" s="3"/>
      <c r="L3574" s="5"/>
    </row>
    <row r="3575" spans="1:12" ht="28.8" x14ac:dyDescent="0.55000000000000004">
      <c r="A3575" s="9" t="str">
        <f>HYPERLINK("PDF\FOIA-FWS-2020-00724-0003574.pdf","FOIA-FWS-2020-00724-0003574")</f>
        <v>FOIA-FWS-2020-00724-0003574</v>
      </c>
      <c r="B3575" s="3" t="s">
        <v>5627</v>
      </c>
      <c r="C3575" s="3" t="s">
        <v>3</v>
      </c>
      <c r="D3575" s="3" t="s">
        <v>33</v>
      </c>
      <c r="E3575" s="3" t="s">
        <v>5628</v>
      </c>
      <c r="F3575" s="4">
        <v>43859.620138888888</v>
      </c>
      <c r="G3575" s="3" t="s">
        <v>955</v>
      </c>
      <c r="H3575" s="3" t="s">
        <v>872</v>
      </c>
      <c r="I3575" s="3" t="s">
        <v>7043</v>
      </c>
      <c r="J3575" s="3"/>
      <c r="K3575" s="3"/>
      <c r="L3575" s="5"/>
    </row>
    <row r="3576" spans="1:12" ht="28.8" x14ac:dyDescent="0.55000000000000004">
      <c r="A3576" s="9" t="str">
        <f>HYPERLINK("PDF\FOIA-FWS-2020-00724-0003575.pdf","FOIA-FWS-2020-00724-0003575")</f>
        <v>FOIA-FWS-2020-00724-0003575</v>
      </c>
      <c r="B3576" s="3" t="s">
        <v>5627</v>
      </c>
      <c r="C3576" s="3" t="s">
        <v>234</v>
      </c>
      <c r="D3576" s="3" t="s">
        <v>33</v>
      </c>
      <c r="E3576" s="3" t="s">
        <v>5629</v>
      </c>
      <c r="F3576" s="4">
        <v>43859.620138888888</v>
      </c>
      <c r="G3576" s="3"/>
      <c r="H3576" s="3"/>
      <c r="I3576" s="3" t="s">
        <v>7043</v>
      </c>
      <c r="J3576" s="3"/>
      <c r="K3576" s="3"/>
      <c r="L3576" s="5"/>
    </row>
    <row r="3577" spans="1:12" ht="28.8" x14ac:dyDescent="0.55000000000000004">
      <c r="A3577" s="9" t="str">
        <f>HYPERLINK("PDF\FOIA-FWS-2020-00724-0003576.pdf","FOIA-FWS-2020-00724-0003576")</f>
        <v>FOIA-FWS-2020-00724-0003576</v>
      </c>
      <c r="B3577" s="3" t="s">
        <v>5630</v>
      </c>
      <c r="C3577" s="3" t="s">
        <v>3</v>
      </c>
      <c r="D3577" s="3" t="s">
        <v>33</v>
      </c>
      <c r="E3577" s="3" t="s">
        <v>5631</v>
      </c>
      <c r="F3577" s="4">
        <v>43859.676388888889</v>
      </c>
      <c r="G3577" s="3" t="s">
        <v>955</v>
      </c>
      <c r="H3577" s="3" t="s">
        <v>872</v>
      </c>
      <c r="I3577" s="3" t="s">
        <v>7043</v>
      </c>
      <c r="J3577" s="3"/>
      <c r="K3577" s="3"/>
      <c r="L3577" s="5"/>
    </row>
    <row r="3578" spans="1:12" ht="28.8" x14ac:dyDescent="0.55000000000000004">
      <c r="A3578" s="9" t="str">
        <f>HYPERLINK("PDF\FOIA-FWS-2020-00724-0003577.pdf","FOIA-FWS-2020-00724-0003577")</f>
        <v>FOIA-FWS-2020-00724-0003577</v>
      </c>
      <c r="B3578" s="3" t="s">
        <v>5632</v>
      </c>
      <c r="C3578" s="3" t="s">
        <v>3</v>
      </c>
      <c r="D3578" s="3" t="s">
        <v>33</v>
      </c>
      <c r="E3578" s="3" t="s">
        <v>5633</v>
      </c>
      <c r="F3578" s="4">
        <v>43859.678472222222</v>
      </c>
      <c r="G3578" s="3" t="s">
        <v>955</v>
      </c>
      <c r="H3578" s="3" t="s">
        <v>872</v>
      </c>
      <c r="I3578" s="3" t="s">
        <v>7043</v>
      </c>
      <c r="J3578" s="3"/>
      <c r="K3578" s="3"/>
      <c r="L3578" s="5"/>
    </row>
    <row r="3579" spans="1:12" ht="28.8" x14ac:dyDescent="0.55000000000000004">
      <c r="A3579" s="9" t="str">
        <f>HYPERLINK("PDF\FOIA-FWS-2020-00724-0003578.pdf","FOIA-FWS-2020-00724-0003578")</f>
        <v>FOIA-FWS-2020-00724-0003578</v>
      </c>
      <c r="B3579" s="3" t="s">
        <v>5632</v>
      </c>
      <c r="C3579" s="3" t="s">
        <v>234</v>
      </c>
      <c r="D3579" s="3" t="s">
        <v>4</v>
      </c>
      <c r="E3579" s="3" t="s">
        <v>5635</v>
      </c>
      <c r="F3579" s="4">
        <v>43859.678472222222</v>
      </c>
      <c r="G3579" s="3" t="s">
        <v>5634</v>
      </c>
      <c r="H3579" s="3"/>
      <c r="I3579" s="3" t="s">
        <v>7043</v>
      </c>
      <c r="J3579" s="3"/>
      <c r="K3579" s="3"/>
      <c r="L3579" s="5"/>
    </row>
    <row r="3580" spans="1:12" ht="28.8" x14ac:dyDescent="0.55000000000000004">
      <c r="A3580" s="9" t="str">
        <f>HYPERLINK("PDF\FOIA-FWS-2020-00724-0003579.pdf","FOIA-FWS-2020-00724-0003579")</f>
        <v>FOIA-FWS-2020-00724-0003579</v>
      </c>
      <c r="B3580" s="3" t="s">
        <v>5636</v>
      </c>
      <c r="C3580" s="3" t="s">
        <v>3</v>
      </c>
      <c r="D3580" s="3" t="s">
        <v>33</v>
      </c>
      <c r="E3580" s="3" t="s">
        <v>5637</v>
      </c>
      <c r="F3580" s="4">
        <v>43859.703472222223</v>
      </c>
      <c r="G3580" s="3" t="s">
        <v>955</v>
      </c>
      <c r="H3580" s="3" t="s">
        <v>872</v>
      </c>
      <c r="I3580" s="3" t="s">
        <v>7043</v>
      </c>
      <c r="J3580" s="3"/>
      <c r="K3580" s="3"/>
      <c r="L3580" s="5"/>
    </row>
    <row r="3581" spans="1:12" ht="43.2" x14ac:dyDescent="0.55000000000000004">
      <c r="A3581" s="9" t="str">
        <f>HYPERLINK("PDF\FOIA-FWS-2020-00724-0003580.pdf","FOIA-FWS-2020-00724-0003580")</f>
        <v>FOIA-FWS-2020-00724-0003580</v>
      </c>
      <c r="B3581" s="3" t="s">
        <v>5636</v>
      </c>
      <c r="C3581" s="3" t="s">
        <v>234</v>
      </c>
      <c r="D3581" s="3" t="s">
        <v>4</v>
      </c>
      <c r="E3581" s="3" t="s">
        <v>5639</v>
      </c>
      <c r="F3581" s="4">
        <v>43859.703472222223</v>
      </c>
      <c r="G3581" s="3" t="s">
        <v>5638</v>
      </c>
      <c r="H3581" s="3"/>
      <c r="I3581" s="3" t="s">
        <v>7043</v>
      </c>
      <c r="J3581" s="3"/>
      <c r="K3581" s="3"/>
      <c r="L3581" s="5"/>
    </row>
    <row r="3582" spans="1:12" ht="28.8" x14ac:dyDescent="0.55000000000000004">
      <c r="A3582" s="9" t="str">
        <f>HYPERLINK("PDF\FOIA-FWS-2020-00724-0003581.pdf","FOIA-FWS-2020-00724-0003581")</f>
        <v>FOIA-FWS-2020-00724-0003581</v>
      </c>
      <c r="B3582" s="3" t="s">
        <v>5640</v>
      </c>
      <c r="C3582" s="3" t="s">
        <v>3</v>
      </c>
      <c r="D3582" s="3" t="s">
        <v>33</v>
      </c>
      <c r="E3582" s="3" t="s">
        <v>5641</v>
      </c>
      <c r="F3582" s="4">
        <v>43859.705555555556</v>
      </c>
      <c r="G3582" s="3" t="s">
        <v>872</v>
      </c>
      <c r="H3582" s="3" t="s">
        <v>955</v>
      </c>
      <c r="I3582" s="3" t="s">
        <v>7043</v>
      </c>
      <c r="J3582" s="3"/>
      <c r="K3582" s="3"/>
      <c r="L3582" s="5"/>
    </row>
    <row r="3583" spans="1:12" ht="86.4" x14ac:dyDescent="0.55000000000000004">
      <c r="A3583" s="9" t="str">
        <f>HYPERLINK("PDF\FOIA-FWS-2020-00724-0003582.pdf","FOIA-FWS-2020-00724-0003582")</f>
        <v>FOIA-FWS-2020-00724-0003582</v>
      </c>
      <c r="B3583" s="3" t="s">
        <v>5642</v>
      </c>
      <c r="C3583" s="3" t="s">
        <v>3</v>
      </c>
      <c r="D3583" s="3" t="s">
        <v>33</v>
      </c>
      <c r="E3583" s="3" t="s">
        <v>5643</v>
      </c>
      <c r="F3583" s="4">
        <v>43859.728472222225</v>
      </c>
      <c r="G3583" s="3" t="s">
        <v>872</v>
      </c>
      <c r="H3583" s="3" t="s">
        <v>919</v>
      </c>
      <c r="I3583" s="3" t="s">
        <v>7043</v>
      </c>
      <c r="J3583" s="3"/>
      <c r="K3583" s="3"/>
      <c r="L3583" s="5"/>
    </row>
    <row r="3584" spans="1:12" ht="28.8" x14ac:dyDescent="0.55000000000000004">
      <c r="A3584" s="9" t="str">
        <f>HYPERLINK("PDF\FOIA-FWS-2020-00724-0003583.pdf","FOIA-FWS-2020-00724-0003583")</f>
        <v>FOIA-FWS-2020-00724-0003583</v>
      </c>
      <c r="B3584" s="3" t="s">
        <v>5644</v>
      </c>
      <c r="C3584" s="3" t="s">
        <v>3</v>
      </c>
      <c r="D3584" s="3" t="s">
        <v>33</v>
      </c>
      <c r="E3584" s="3" t="s">
        <v>5645</v>
      </c>
      <c r="F3584" s="4">
        <v>43859.779166666667</v>
      </c>
      <c r="G3584" s="3" t="s">
        <v>963</v>
      </c>
      <c r="H3584" s="3" t="s">
        <v>1392</v>
      </c>
      <c r="I3584" s="3" t="s">
        <v>7043</v>
      </c>
      <c r="J3584" s="3"/>
      <c r="K3584" s="3"/>
      <c r="L3584" s="5"/>
    </row>
    <row r="3585" spans="1:12" ht="28.8" x14ac:dyDescent="0.55000000000000004">
      <c r="A3585" s="9" t="str">
        <f>HYPERLINK("PDF\FOIA-FWS-2020-00724-0003584.pdf","FOIA-FWS-2020-00724-0003584")</f>
        <v>FOIA-FWS-2020-00724-0003584</v>
      </c>
      <c r="B3585" s="3" t="s">
        <v>5646</v>
      </c>
      <c r="C3585" s="3" t="s">
        <v>3</v>
      </c>
      <c r="D3585" s="3" t="s">
        <v>33</v>
      </c>
      <c r="E3585" s="3" t="s">
        <v>5647</v>
      </c>
      <c r="F3585" s="4">
        <v>43859.780555555553</v>
      </c>
      <c r="G3585" s="3" t="s">
        <v>955</v>
      </c>
      <c r="H3585" s="3" t="s">
        <v>872</v>
      </c>
      <c r="I3585" s="3" t="s">
        <v>7043</v>
      </c>
      <c r="J3585" s="3"/>
      <c r="K3585" s="3"/>
      <c r="L3585" s="5"/>
    </row>
    <row r="3586" spans="1:12" ht="28.8" x14ac:dyDescent="0.55000000000000004">
      <c r="A3586" s="9" t="str">
        <f>HYPERLINK("PDF\FOIA-FWS-2020-00724-0003585.pdf","FOIA-FWS-2020-00724-0003585")</f>
        <v>FOIA-FWS-2020-00724-0003585</v>
      </c>
      <c r="B3586" s="3" t="s">
        <v>5646</v>
      </c>
      <c r="C3586" s="3" t="s">
        <v>234</v>
      </c>
      <c r="D3586" s="3" t="s">
        <v>33</v>
      </c>
      <c r="E3586" s="3" t="s">
        <v>5648</v>
      </c>
      <c r="F3586" s="4">
        <v>43859.780555555553</v>
      </c>
      <c r="G3586" s="3"/>
      <c r="H3586" s="3"/>
      <c r="I3586" s="3" t="s">
        <v>7043</v>
      </c>
      <c r="J3586" s="3"/>
      <c r="K3586" s="3"/>
      <c r="L3586" s="5"/>
    </row>
    <row r="3587" spans="1:12" ht="28.8" x14ac:dyDescent="0.55000000000000004">
      <c r="A3587" s="9" t="str">
        <f>HYPERLINK("PDF\FOIA-FWS-2020-00724-0003586.pdf","FOIA-FWS-2020-00724-0003586")</f>
        <v>FOIA-FWS-2020-00724-0003586</v>
      </c>
      <c r="B3587" s="3" t="s">
        <v>5649</v>
      </c>
      <c r="C3587" s="3" t="s">
        <v>3</v>
      </c>
      <c r="D3587" s="3" t="s">
        <v>33</v>
      </c>
      <c r="E3587" s="3" t="s">
        <v>5647</v>
      </c>
      <c r="F3587" s="4">
        <v>43859.786805555559</v>
      </c>
      <c r="G3587" s="3" t="s">
        <v>872</v>
      </c>
      <c r="H3587" s="3" t="s">
        <v>955</v>
      </c>
      <c r="I3587" s="3" t="s">
        <v>7043</v>
      </c>
      <c r="J3587" s="3"/>
      <c r="K3587" s="3"/>
      <c r="L3587" s="5"/>
    </row>
    <row r="3588" spans="1:12" ht="28.8" x14ac:dyDescent="0.55000000000000004">
      <c r="A3588" s="9" t="str">
        <f>HYPERLINK("PDF\FOIA-FWS-2020-00724-0003587.pdf","FOIA-FWS-2020-00724-0003587")</f>
        <v>FOIA-FWS-2020-00724-0003587</v>
      </c>
      <c r="B3588" s="3" t="s">
        <v>5650</v>
      </c>
      <c r="C3588" s="3" t="s">
        <v>3</v>
      </c>
      <c r="D3588" s="3" t="s">
        <v>33</v>
      </c>
      <c r="E3588" s="3" t="s">
        <v>5651</v>
      </c>
      <c r="F3588" s="4">
        <v>43860</v>
      </c>
      <c r="G3588" s="3"/>
      <c r="H3588" s="3"/>
      <c r="I3588" s="3" t="s">
        <v>7043</v>
      </c>
      <c r="J3588" s="3"/>
      <c r="K3588" s="3"/>
      <c r="L3588" s="5"/>
    </row>
    <row r="3589" spans="1:12" ht="28.8" x14ac:dyDescent="0.55000000000000004">
      <c r="A3589" s="9" t="str">
        <f>HYPERLINK("PDF\FOIA-FWS-2020-00724-0003588.pdf","FOIA-FWS-2020-00724-0003588")</f>
        <v>FOIA-FWS-2020-00724-0003588</v>
      </c>
      <c r="B3589" s="3" t="s">
        <v>5652</v>
      </c>
      <c r="C3589" s="3" t="s">
        <v>3</v>
      </c>
      <c r="D3589" s="3" t="s">
        <v>33</v>
      </c>
      <c r="E3589" s="3" t="s">
        <v>5654</v>
      </c>
      <c r="F3589" s="4">
        <v>43860.489583333336</v>
      </c>
      <c r="G3589" s="3" t="s">
        <v>919</v>
      </c>
      <c r="H3589" s="3" t="s">
        <v>5653</v>
      </c>
      <c r="I3589" s="3" t="s">
        <v>7043</v>
      </c>
      <c r="J3589" s="3"/>
      <c r="K3589" s="3"/>
      <c r="L3589" s="5"/>
    </row>
    <row r="3590" spans="1:12" ht="28.8" x14ac:dyDescent="0.55000000000000004">
      <c r="A3590" s="9" t="str">
        <f>HYPERLINK("PDF\FOIA-FWS-2020-00724-0003589.pdf","FOIA-FWS-2020-00724-0003589")</f>
        <v>FOIA-FWS-2020-00724-0003589</v>
      </c>
      <c r="B3590" s="3" t="s">
        <v>5655</v>
      </c>
      <c r="C3590" s="3" t="s">
        <v>3</v>
      </c>
      <c r="D3590" s="3" t="s">
        <v>33</v>
      </c>
      <c r="E3590" s="3" t="s">
        <v>5654</v>
      </c>
      <c r="F3590" s="4">
        <v>43860.494444444441</v>
      </c>
      <c r="G3590" s="3" t="s">
        <v>919</v>
      </c>
      <c r="H3590" s="3" t="s">
        <v>963</v>
      </c>
      <c r="I3590" s="3" t="s">
        <v>7043</v>
      </c>
      <c r="J3590" s="3"/>
      <c r="K3590" s="3"/>
      <c r="L3590" s="5"/>
    </row>
    <row r="3591" spans="1:12" ht="28.8" x14ac:dyDescent="0.55000000000000004">
      <c r="A3591" s="9" t="str">
        <f>HYPERLINK("PDF\FOIA-FWS-2020-00724-0003590.pdf","FOIA-FWS-2020-00724-0003590")</f>
        <v>FOIA-FWS-2020-00724-0003590</v>
      </c>
      <c r="B3591" s="3" t="s">
        <v>5656</v>
      </c>
      <c r="C3591" s="3" t="s">
        <v>3</v>
      </c>
      <c r="D3591" s="3" t="s">
        <v>33</v>
      </c>
      <c r="E3591" s="3" t="s">
        <v>5657</v>
      </c>
      <c r="F3591" s="4">
        <v>43860.49722222222</v>
      </c>
      <c r="G3591" s="3" t="s">
        <v>963</v>
      </c>
      <c r="H3591" s="3" t="s">
        <v>1392</v>
      </c>
      <c r="I3591" s="3" t="s">
        <v>7043</v>
      </c>
      <c r="J3591" s="3"/>
      <c r="K3591" s="3"/>
      <c r="L3591" s="5"/>
    </row>
    <row r="3592" spans="1:12" ht="86.4" x14ac:dyDescent="0.55000000000000004">
      <c r="A3592" s="9" t="str">
        <f>HYPERLINK("PDF\FOIA-FWS-2020-00724-0003591.pdf","FOIA-FWS-2020-00724-0003591")</f>
        <v>FOIA-FWS-2020-00724-0003591</v>
      </c>
      <c r="B3592" s="3" t="s">
        <v>5658</v>
      </c>
      <c r="C3592" s="3" t="s">
        <v>3</v>
      </c>
      <c r="D3592" s="3" t="s">
        <v>33</v>
      </c>
      <c r="E3592" s="3" t="s">
        <v>5660</v>
      </c>
      <c r="F3592" s="4">
        <v>43860.506944444445</v>
      </c>
      <c r="G3592" s="3" t="s">
        <v>919</v>
      </c>
      <c r="H3592" s="3" t="s">
        <v>5659</v>
      </c>
      <c r="I3592" s="3" t="s">
        <v>7043</v>
      </c>
      <c r="J3592" s="3"/>
      <c r="K3592" s="3"/>
      <c r="L3592" s="5"/>
    </row>
    <row r="3593" spans="1:12" ht="28.8" x14ac:dyDescent="0.55000000000000004">
      <c r="A3593" s="9" t="str">
        <f>HYPERLINK("PDF\FOIA-FWS-2020-00724-0003592.pdf","FOIA-FWS-2020-00724-0003592")</f>
        <v>FOIA-FWS-2020-00724-0003592</v>
      </c>
      <c r="B3593" s="3" t="s">
        <v>5661</v>
      </c>
      <c r="C3593" s="3" t="s">
        <v>3</v>
      </c>
      <c r="D3593" s="3" t="s">
        <v>33</v>
      </c>
      <c r="E3593" s="3" t="s">
        <v>5654</v>
      </c>
      <c r="F3593" s="4">
        <v>43860.511111111111</v>
      </c>
      <c r="G3593" s="3" t="s">
        <v>963</v>
      </c>
      <c r="H3593" s="3" t="s">
        <v>5662</v>
      </c>
      <c r="I3593" s="3" t="s">
        <v>7043</v>
      </c>
      <c r="J3593" s="3"/>
      <c r="K3593" s="3"/>
      <c r="L3593" s="5"/>
    </row>
    <row r="3594" spans="1:12" ht="28.8" x14ac:dyDescent="0.55000000000000004">
      <c r="A3594" s="9" t="str">
        <f>HYPERLINK("PDF\FOIA-FWS-2020-00724-0003593.pdf","FOIA-FWS-2020-00724-0003593")</f>
        <v>FOIA-FWS-2020-00724-0003593</v>
      </c>
      <c r="B3594" s="3" t="s">
        <v>5663</v>
      </c>
      <c r="C3594" s="3" t="s">
        <v>3</v>
      </c>
      <c r="D3594" s="3" t="s">
        <v>33</v>
      </c>
      <c r="E3594" s="3" t="s">
        <v>5664</v>
      </c>
      <c r="F3594" s="4">
        <v>43860.51666666667</v>
      </c>
      <c r="G3594" s="3" t="s">
        <v>1332</v>
      </c>
      <c r="H3594" s="3" t="s">
        <v>872</v>
      </c>
      <c r="I3594" s="3" t="s">
        <v>7043</v>
      </c>
      <c r="J3594" s="3"/>
      <c r="K3594" s="3"/>
      <c r="L3594" s="5"/>
    </row>
    <row r="3595" spans="1:12" ht="57.6" x14ac:dyDescent="0.55000000000000004">
      <c r="A3595" s="9" t="str">
        <f>HYPERLINK("PDF\FOIA-FWS-2020-00724-0003594.pdf","FOIA-FWS-2020-00724-0003594")</f>
        <v>FOIA-FWS-2020-00724-0003594</v>
      </c>
      <c r="B3595" s="3" t="s">
        <v>5665</v>
      </c>
      <c r="C3595" s="3" t="s">
        <v>3</v>
      </c>
      <c r="D3595" s="3" t="s">
        <v>33</v>
      </c>
      <c r="E3595" s="3" t="s">
        <v>5667</v>
      </c>
      <c r="F3595" s="4">
        <v>43860.517361111109</v>
      </c>
      <c r="G3595" s="3" t="s">
        <v>919</v>
      </c>
      <c r="H3595" s="3" t="s">
        <v>5666</v>
      </c>
      <c r="I3595" s="3" t="s">
        <v>7043</v>
      </c>
      <c r="J3595" s="3"/>
      <c r="K3595" s="3"/>
      <c r="L3595" s="5"/>
    </row>
    <row r="3596" spans="1:12" ht="28.8" x14ac:dyDescent="0.55000000000000004">
      <c r="A3596" s="9" t="str">
        <f>HYPERLINK("PDF\FOIA-FWS-2020-00724-0003595.pdf","FOIA-FWS-2020-00724-0003595")</f>
        <v>FOIA-FWS-2020-00724-0003595</v>
      </c>
      <c r="B3596" s="3" t="s">
        <v>5668</v>
      </c>
      <c r="C3596" s="3" t="s">
        <v>3</v>
      </c>
      <c r="D3596" s="3" t="s">
        <v>33</v>
      </c>
      <c r="E3596" s="3" t="s">
        <v>5669</v>
      </c>
      <c r="F3596" s="4">
        <v>43860.598611111112</v>
      </c>
      <c r="G3596" s="3"/>
      <c r="H3596" s="3"/>
      <c r="I3596" s="3" t="s">
        <v>7043</v>
      </c>
      <c r="J3596" s="3"/>
      <c r="K3596" s="3"/>
      <c r="L3596" s="5"/>
    </row>
    <row r="3597" spans="1:12" ht="28.8" x14ac:dyDescent="0.55000000000000004">
      <c r="A3597" s="9" t="str">
        <f>HYPERLINK("PDF\FOIA-FWS-2020-00724-0003596.pdf","FOIA-FWS-2020-00724-0003596")</f>
        <v>FOIA-FWS-2020-00724-0003596</v>
      </c>
      <c r="B3597" s="3" t="s">
        <v>5670</v>
      </c>
      <c r="C3597" s="3" t="s">
        <v>3</v>
      </c>
      <c r="D3597" s="3" t="s">
        <v>33</v>
      </c>
      <c r="E3597" s="3" t="s">
        <v>5671</v>
      </c>
      <c r="F3597" s="4">
        <v>43860.598611111112</v>
      </c>
      <c r="G3597" s="3"/>
      <c r="H3597" s="3"/>
      <c r="I3597" s="3" t="s">
        <v>7043</v>
      </c>
      <c r="J3597" s="3"/>
      <c r="K3597" s="3"/>
      <c r="L3597" s="5"/>
    </row>
    <row r="3598" spans="1:12" ht="43.2" x14ac:dyDescent="0.55000000000000004">
      <c r="A3598" s="9" t="str">
        <f>HYPERLINK("PDF\FOIA-FWS-2020-00724-0003597.pdf","FOIA-FWS-2020-00724-0003597")</f>
        <v>FOIA-FWS-2020-00724-0003597</v>
      </c>
      <c r="B3598" s="3" t="s">
        <v>5672</v>
      </c>
      <c r="C3598" s="3" t="s">
        <v>3</v>
      </c>
      <c r="D3598" s="3" t="s">
        <v>33</v>
      </c>
      <c r="E3598" s="3" t="s">
        <v>5673</v>
      </c>
      <c r="F3598" s="4">
        <v>43860.598611111112</v>
      </c>
      <c r="G3598" s="3" t="s">
        <v>963</v>
      </c>
      <c r="H3598" s="3" t="s">
        <v>5405</v>
      </c>
      <c r="I3598" s="3" t="s">
        <v>7043</v>
      </c>
      <c r="J3598" s="3"/>
      <c r="K3598" s="3"/>
      <c r="L3598" s="5"/>
    </row>
    <row r="3599" spans="1:12" ht="28.8" x14ac:dyDescent="0.55000000000000004">
      <c r="A3599" s="9" t="str">
        <f>HYPERLINK("PDF\FOIA-FWS-2020-00724-0003598.pdf","FOIA-FWS-2020-00724-0003598")</f>
        <v>FOIA-FWS-2020-00724-0003598</v>
      </c>
      <c r="B3599" s="3" t="s">
        <v>5672</v>
      </c>
      <c r="C3599" s="3" t="s">
        <v>234</v>
      </c>
      <c r="D3599" s="3" t="s">
        <v>33</v>
      </c>
      <c r="E3599" s="3" t="s">
        <v>783</v>
      </c>
      <c r="F3599" s="4">
        <v>43860.598611111112</v>
      </c>
      <c r="G3599" s="3"/>
      <c r="H3599" s="3"/>
      <c r="I3599" s="3" t="s">
        <v>7043</v>
      </c>
      <c r="J3599" s="3"/>
      <c r="K3599" s="3"/>
      <c r="L3599" s="5"/>
    </row>
    <row r="3600" spans="1:12" ht="28.8" x14ac:dyDescent="0.55000000000000004">
      <c r="A3600" s="9" t="str">
        <f>HYPERLINK("PDF\FOIA-FWS-2020-00724-0003599.pdf","FOIA-FWS-2020-00724-0003599")</f>
        <v>FOIA-FWS-2020-00724-0003599</v>
      </c>
      <c r="B3600" s="3" t="s">
        <v>5672</v>
      </c>
      <c r="C3600" s="3" t="s">
        <v>234</v>
      </c>
      <c r="D3600" s="3" t="s">
        <v>33</v>
      </c>
      <c r="E3600" s="3" t="s">
        <v>5674</v>
      </c>
      <c r="F3600" s="4">
        <v>43860.598611111112</v>
      </c>
      <c r="G3600" s="3"/>
      <c r="H3600" s="3"/>
      <c r="I3600" s="3" t="s">
        <v>7043</v>
      </c>
      <c r="J3600" s="3"/>
      <c r="K3600" s="3"/>
      <c r="L3600" s="5"/>
    </row>
    <row r="3601" spans="1:12" ht="28.8" x14ac:dyDescent="0.55000000000000004">
      <c r="A3601" s="9" t="str">
        <f>HYPERLINK("PDF\FOIA-FWS-2020-00724-0003600.pdf","FOIA-FWS-2020-00724-0003600")</f>
        <v>FOIA-FWS-2020-00724-0003600</v>
      </c>
      <c r="B3601" s="3" t="s">
        <v>5672</v>
      </c>
      <c r="C3601" s="3" t="s">
        <v>234</v>
      </c>
      <c r="D3601" s="3" t="s">
        <v>33</v>
      </c>
      <c r="E3601" s="3" t="s">
        <v>5675</v>
      </c>
      <c r="F3601" s="4">
        <v>43860.598611111112</v>
      </c>
      <c r="G3601" s="3"/>
      <c r="H3601" s="3"/>
      <c r="I3601" s="3" t="s">
        <v>7043</v>
      </c>
      <c r="J3601" s="3"/>
      <c r="K3601" s="3"/>
      <c r="L3601" s="5"/>
    </row>
    <row r="3602" spans="1:12" ht="28.8" x14ac:dyDescent="0.55000000000000004">
      <c r="A3602" s="9" t="str">
        <f>HYPERLINK("PDF\FOIA-FWS-2020-00724-0003601.pdf","FOIA-FWS-2020-00724-0003601")</f>
        <v>FOIA-FWS-2020-00724-0003601</v>
      </c>
      <c r="B3602" s="3" t="s">
        <v>5672</v>
      </c>
      <c r="C3602" s="3" t="s">
        <v>234</v>
      </c>
      <c r="D3602" s="3" t="s">
        <v>33</v>
      </c>
      <c r="E3602" s="3" t="s">
        <v>5676</v>
      </c>
      <c r="F3602" s="4">
        <v>43860.598611111112</v>
      </c>
      <c r="G3602" s="3"/>
      <c r="H3602" s="3"/>
      <c r="I3602" s="3" t="s">
        <v>7043</v>
      </c>
      <c r="J3602" s="3"/>
      <c r="K3602" s="3"/>
      <c r="L3602" s="5"/>
    </row>
    <row r="3603" spans="1:12" ht="28.8" x14ac:dyDescent="0.55000000000000004">
      <c r="A3603" s="9" t="str">
        <f>HYPERLINK("PDF\FOIA-FWS-2020-00724-0003602.pdf","FOIA-FWS-2020-00724-0003602")</f>
        <v>FOIA-FWS-2020-00724-0003602</v>
      </c>
      <c r="B3603" s="3" t="s">
        <v>5677</v>
      </c>
      <c r="C3603" s="3" t="s">
        <v>3</v>
      </c>
      <c r="D3603" s="3" t="s">
        <v>33</v>
      </c>
      <c r="E3603" s="3" t="s">
        <v>5679</v>
      </c>
      <c r="F3603" s="4">
        <v>43860.725694444445</v>
      </c>
      <c r="G3603" s="3" t="s">
        <v>1392</v>
      </c>
      <c r="H3603" s="3" t="s">
        <v>5678</v>
      </c>
      <c r="I3603" s="3" t="s">
        <v>7043</v>
      </c>
      <c r="J3603" s="3"/>
      <c r="K3603" s="3"/>
      <c r="L3603" s="5"/>
    </row>
    <row r="3604" spans="1:12" ht="28.8" x14ac:dyDescent="0.55000000000000004">
      <c r="A3604" s="9" t="str">
        <f>HYPERLINK("PDF\FOIA-FWS-2020-00724-0003603.pdf","FOIA-FWS-2020-00724-0003603")</f>
        <v>FOIA-FWS-2020-00724-0003603</v>
      </c>
      <c r="B3604" s="3" t="s">
        <v>5680</v>
      </c>
      <c r="C3604" s="3" t="s">
        <v>3</v>
      </c>
      <c r="D3604" s="3" t="s">
        <v>33</v>
      </c>
      <c r="E3604" s="3" t="s">
        <v>5679</v>
      </c>
      <c r="F3604" s="4">
        <v>43860.78125</v>
      </c>
      <c r="G3604" s="3" t="s">
        <v>1392</v>
      </c>
      <c r="H3604" s="3" t="s">
        <v>5681</v>
      </c>
      <c r="I3604" s="3" t="s">
        <v>7043</v>
      </c>
      <c r="J3604" s="3"/>
      <c r="K3604" s="3"/>
      <c r="L3604" s="5"/>
    </row>
    <row r="3605" spans="1:12" ht="57.6" x14ac:dyDescent="0.55000000000000004">
      <c r="A3605" s="9" t="str">
        <f>HYPERLINK("PDF\FOIA-FWS-2020-00724-0003604.pdf","FOIA-FWS-2020-00724-0003604")</f>
        <v>FOIA-FWS-2020-00724-0003604</v>
      </c>
      <c r="B3605" s="3" t="s">
        <v>5682</v>
      </c>
      <c r="C3605" s="3" t="s">
        <v>3</v>
      </c>
      <c r="D3605" s="3" t="s">
        <v>33</v>
      </c>
      <c r="E3605" s="3" t="s">
        <v>5683</v>
      </c>
      <c r="F3605" s="4">
        <v>43860.802083333336</v>
      </c>
      <c r="G3605" s="3" t="s">
        <v>872</v>
      </c>
      <c r="H3605" s="3" t="s">
        <v>1392</v>
      </c>
      <c r="I3605" s="3" t="s">
        <v>7043</v>
      </c>
      <c r="J3605" s="3"/>
      <c r="K3605" s="3"/>
      <c r="L3605" s="5"/>
    </row>
    <row r="3606" spans="1:12" ht="28.8" x14ac:dyDescent="0.55000000000000004">
      <c r="A3606" s="9" t="str">
        <f>HYPERLINK("PDF\FOIA-FWS-2020-00724-0003605.pdf","FOIA-FWS-2020-00724-0003605")</f>
        <v>FOIA-FWS-2020-00724-0003605</v>
      </c>
      <c r="B3606" s="3" t="s">
        <v>5684</v>
      </c>
      <c r="C3606" s="3" t="s">
        <v>3</v>
      </c>
      <c r="D3606" s="3" t="s">
        <v>33</v>
      </c>
      <c r="E3606" s="3" t="s">
        <v>5664</v>
      </c>
      <c r="F3606" s="4">
        <v>43860.811805555553</v>
      </c>
      <c r="G3606" s="3" t="s">
        <v>1332</v>
      </c>
      <c r="H3606" s="3" t="s">
        <v>872</v>
      </c>
      <c r="I3606" s="3" t="s">
        <v>7043</v>
      </c>
      <c r="J3606" s="3"/>
      <c r="K3606" s="3"/>
      <c r="L3606" s="5"/>
    </row>
    <row r="3607" spans="1:12" ht="28.8" x14ac:dyDescent="0.55000000000000004">
      <c r="A3607" s="9" t="str">
        <f>HYPERLINK("PDF\FOIA-FWS-2020-00724-0003606.pdf","FOIA-FWS-2020-00724-0003606")</f>
        <v>FOIA-FWS-2020-00724-0003606</v>
      </c>
      <c r="B3607" s="3" t="s">
        <v>5685</v>
      </c>
      <c r="C3607" s="3" t="s">
        <v>3</v>
      </c>
      <c r="D3607" s="3" t="s">
        <v>33</v>
      </c>
      <c r="E3607" s="3" t="s">
        <v>5686</v>
      </c>
      <c r="F3607" s="4">
        <v>43861</v>
      </c>
      <c r="G3607" s="3"/>
      <c r="H3607" s="3"/>
      <c r="I3607" s="3" t="s">
        <v>7043</v>
      </c>
      <c r="J3607" s="3"/>
      <c r="K3607" s="3"/>
      <c r="L3607" s="5"/>
    </row>
    <row r="3608" spans="1:12" ht="28.8" x14ac:dyDescent="0.55000000000000004">
      <c r="A3608" s="9" t="str">
        <f>HYPERLINK("PDF\FOIA-FWS-2020-00724-0003607.pdf","FOIA-FWS-2020-00724-0003607")</f>
        <v>FOIA-FWS-2020-00724-0003607</v>
      </c>
      <c r="B3608" s="3" t="s">
        <v>5687</v>
      </c>
      <c r="C3608" s="3" t="s">
        <v>3</v>
      </c>
      <c r="D3608" s="3" t="s">
        <v>33</v>
      </c>
      <c r="E3608" s="3" t="s">
        <v>5688</v>
      </c>
      <c r="F3608" s="4">
        <v>43861</v>
      </c>
      <c r="G3608" s="3"/>
      <c r="H3608" s="3"/>
      <c r="I3608" s="3" t="s">
        <v>7043</v>
      </c>
      <c r="J3608" s="3"/>
      <c r="K3608" s="3"/>
      <c r="L3608" s="5"/>
    </row>
    <row r="3609" spans="1:12" ht="28.8" x14ac:dyDescent="0.55000000000000004">
      <c r="A3609" s="9" t="str">
        <f>HYPERLINK("PDF\FOIA-FWS-2020-00724-0003608.pdf","FOIA-FWS-2020-00724-0003608")</f>
        <v>FOIA-FWS-2020-00724-0003608</v>
      </c>
      <c r="B3609" s="3" t="s">
        <v>5689</v>
      </c>
      <c r="C3609" s="3" t="s">
        <v>3</v>
      </c>
      <c r="D3609" s="3" t="s">
        <v>33</v>
      </c>
      <c r="E3609" s="3" t="s">
        <v>5679</v>
      </c>
      <c r="F3609" s="4">
        <v>43861.404861111114</v>
      </c>
      <c r="G3609" s="3" t="s">
        <v>919</v>
      </c>
      <c r="H3609" s="3" t="s">
        <v>5690</v>
      </c>
      <c r="I3609" s="3" t="s">
        <v>7043</v>
      </c>
      <c r="J3609" s="3"/>
      <c r="K3609" s="3"/>
      <c r="L3609" s="5"/>
    </row>
    <row r="3610" spans="1:12" ht="28.8" x14ac:dyDescent="0.55000000000000004">
      <c r="A3610" s="9" t="str">
        <f>HYPERLINK("PDF\FOIA-FWS-2020-00724-0003609.pdf","FOIA-FWS-2020-00724-0003609")</f>
        <v>FOIA-FWS-2020-00724-0003609</v>
      </c>
      <c r="B3610" s="3" t="s">
        <v>5691</v>
      </c>
      <c r="C3610" s="3" t="s">
        <v>3</v>
      </c>
      <c r="D3610" s="3" t="s">
        <v>33</v>
      </c>
      <c r="E3610" s="3" t="s">
        <v>5693</v>
      </c>
      <c r="F3610" s="4">
        <v>43861.523611111108</v>
      </c>
      <c r="G3610" s="3" t="s">
        <v>955</v>
      </c>
      <c r="H3610" s="3" t="s">
        <v>5692</v>
      </c>
      <c r="I3610" s="3" t="s">
        <v>7043</v>
      </c>
      <c r="J3610" s="3"/>
      <c r="K3610" s="3"/>
      <c r="L3610" s="5"/>
    </row>
    <row r="3611" spans="1:12" ht="28.8" x14ac:dyDescent="0.55000000000000004">
      <c r="A3611" s="9" t="str">
        <f>HYPERLINK("PDF\FOIA-FWS-2020-00724-0003610.pdf","FOIA-FWS-2020-00724-0003610")</f>
        <v>FOIA-FWS-2020-00724-0003610</v>
      </c>
      <c r="B3611" s="3" t="s">
        <v>5691</v>
      </c>
      <c r="C3611" s="3" t="s">
        <v>234</v>
      </c>
      <c r="D3611" s="3" t="s">
        <v>33</v>
      </c>
      <c r="E3611" s="3" t="s">
        <v>5694</v>
      </c>
      <c r="F3611" s="4">
        <v>43861.523611111108</v>
      </c>
      <c r="G3611" s="3"/>
      <c r="H3611" s="3"/>
      <c r="I3611" s="3" t="s">
        <v>7043</v>
      </c>
      <c r="J3611" s="3"/>
      <c r="K3611" s="3"/>
      <c r="L3611" s="5"/>
    </row>
    <row r="3612" spans="1:12" ht="28.8" x14ac:dyDescent="0.55000000000000004">
      <c r="A3612" s="9" t="str">
        <f>HYPERLINK("PDF\FOIA-FWS-2020-00724-0003611.pdf","FOIA-FWS-2020-00724-0003611")</f>
        <v>FOIA-FWS-2020-00724-0003611</v>
      </c>
      <c r="B3612" s="3" t="s">
        <v>5691</v>
      </c>
      <c r="C3612" s="3" t="s">
        <v>234</v>
      </c>
      <c r="D3612" s="3" t="s">
        <v>4</v>
      </c>
      <c r="E3612" s="3" t="s">
        <v>5695</v>
      </c>
      <c r="F3612" s="4">
        <v>43861.523611111108</v>
      </c>
      <c r="G3612" s="3"/>
      <c r="H3612" s="3"/>
      <c r="I3612" s="3" t="s">
        <v>7043</v>
      </c>
      <c r="J3612" s="3"/>
      <c r="K3612" s="3"/>
      <c r="L3612" s="5"/>
    </row>
    <row r="3613" spans="1:12" ht="28.8" x14ac:dyDescent="0.55000000000000004">
      <c r="A3613" s="9" t="str">
        <f>HYPERLINK("PDF\FOIA-FWS-2020-00724-0003612.pdf","FOIA-FWS-2020-00724-0003612")</f>
        <v>FOIA-FWS-2020-00724-0003612</v>
      </c>
      <c r="B3613" s="3" t="s">
        <v>5696</v>
      </c>
      <c r="C3613" s="3" t="s">
        <v>3</v>
      </c>
      <c r="D3613" s="3" t="s">
        <v>33</v>
      </c>
      <c r="E3613" s="3" t="s">
        <v>5679</v>
      </c>
      <c r="F3613" s="4">
        <v>43861.53402777778</v>
      </c>
      <c r="G3613" s="3" t="s">
        <v>955</v>
      </c>
      <c r="H3613" s="3" t="s">
        <v>919</v>
      </c>
      <c r="I3613" s="3" t="s">
        <v>7043</v>
      </c>
      <c r="J3613" s="3"/>
      <c r="K3613" s="3"/>
      <c r="L3613" s="5"/>
    </row>
    <row r="3614" spans="1:12" ht="28.8" x14ac:dyDescent="0.55000000000000004">
      <c r="A3614" s="9" t="str">
        <f>HYPERLINK("PDF\FOIA-FWS-2020-00724-0003613.pdf","FOIA-FWS-2020-00724-0003613")</f>
        <v>FOIA-FWS-2020-00724-0003613</v>
      </c>
      <c r="B3614" s="3" t="s">
        <v>5697</v>
      </c>
      <c r="C3614" s="3" t="s">
        <v>3</v>
      </c>
      <c r="D3614" s="3" t="s">
        <v>33</v>
      </c>
      <c r="E3614" s="3" t="s">
        <v>5699</v>
      </c>
      <c r="F3614" s="4">
        <v>43861.568055555559</v>
      </c>
      <c r="G3614" s="3" t="s">
        <v>955</v>
      </c>
      <c r="H3614" s="3" t="s">
        <v>5698</v>
      </c>
      <c r="I3614" s="3" t="s">
        <v>7043</v>
      </c>
      <c r="J3614" s="3"/>
      <c r="K3614" s="3"/>
      <c r="L3614" s="5"/>
    </row>
    <row r="3615" spans="1:12" ht="28.8" x14ac:dyDescent="0.55000000000000004">
      <c r="A3615" s="9" t="str">
        <f>HYPERLINK("PDF\FOIA-FWS-2020-00724-0003614.pdf","FOIA-FWS-2020-00724-0003614")</f>
        <v>FOIA-FWS-2020-00724-0003614</v>
      </c>
      <c r="B3615" s="3" t="s">
        <v>5697</v>
      </c>
      <c r="C3615" s="3" t="s">
        <v>234</v>
      </c>
      <c r="D3615" s="3" t="s">
        <v>33</v>
      </c>
      <c r="E3615" s="3" t="s">
        <v>5700</v>
      </c>
      <c r="F3615" s="4">
        <v>43861.568055555559</v>
      </c>
      <c r="G3615" s="3"/>
      <c r="H3615" s="3"/>
      <c r="I3615" s="3" t="s">
        <v>7043</v>
      </c>
      <c r="J3615" s="3"/>
      <c r="K3615" s="3"/>
      <c r="L3615" s="5" t="str">
        <f>HYPERLINK("NATIVE_FILES\FOIA-FWS-2020-00724-0003614.xlsx","FOIA-FWS-2020-00724-0003614.xlsx")</f>
        <v>FOIA-FWS-2020-00724-0003614.xlsx</v>
      </c>
    </row>
    <row r="3616" spans="1:12" ht="28.8" x14ac:dyDescent="0.55000000000000004">
      <c r="A3616" s="9" t="str">
        <f>HYPERLINK("PDF\FOIA-FWS-2020-00724-0003615.pdf","FOIA-FWS-2020-00724-0003615")</f>
        <v>FOIA-FWS-2020-00724-0003615</v>
      </c>
      <c r="B3616" s="3" t="s">
        <v>5701</v>
      </c>
      <c r="C3616" s="3" t="s">
        <v>3</v>
      </c>
      <c r="D3616" s="3" t="s">
        <v>33</v>
      </c>
      <c r="E3616" s="3" t="s">
        <v>5679</v>
      </c>
      <c r="F3616" s="4">
        <v>43861.568749999999</v>
      </c>
      <c r="G3616" s="3" t="s">
        <v>955</v>
      </c>
      <c r="H3616" s="3" t="s">
        <v>919</v>
      </c>
      <c r="I3616" s="3" t="s">
        <v>7043</v>
      </c>
      <c r="J3616" s="3"/>
      <c r="K3616" s="3"/>
      <c r="L3616" s="5"/>
    </row>
    <row r="3617" spans="1:12" ht="28.8" x14ac:dyDescent="0.55000000000000004">
      <c r="A3617" s="9" t="str">
        <f>HYPERLINK("PDF\FOIA-FWS-2020-00724-0003616.pdf","FOIA-FWS-2020-00724-0003616")</f>
        <v>FOIA-FWS-2020-00724-0003616</v>
      </c>
      <c r="B3617" s="3" t="s">
        <v>5702</v>
      </c>
      <c r="C3617" s="3" t="s">
        <v>3</v>
      </c>
      <c r="D3617" s="3" t="s">
        <v>33</v>
      </c>
      <c r="E3617" s="3" t="s">
        <v>5704</v>
      </c>
      <c r="F3617" s="4">
        <v>43861.587500000001</v>
      </c>
      <c r="G3617" s="3" t="s">
        <v>955</v>
      </c>
      <c r="H3617" s="3" t="s">
        <v>5703</v>
      </c>
      <c r="I3617" s="3" t="s">
        <v>7043</v>
      </c>
      <c r="J3617" s="3"/>
      <c r="K3617" s="3"/>
      <c r="L3617" s="5"/>
    </row>
    <row r="3618" spans="1:12" ht="28.8" x14ac:dyDescent="0.55000000000000004">
      <c r="A3618" s="9" t="str">
        <f>HYPERLINK("PDF\FOIA-FWS-2020-00724-0003617.pdf","FOIA-FWS-2020-00724-0003617")</f>
        <v>FOIA-FWS-2020-00724-0003617</v>
      </c>
      <c r="B3618" s="3" t="s">
        <v>5705</v>
      </c>
      <c r="C3618" s="3" t="s">
        <v>3</v>
      </c>
      <c r="D3618" s="3" t="s">
        <v>33</v>
      </c>
      <c r="E3618" s="3" t="s">
        <v>5704</v>
      </c>
      <c r="F3618" s="4">
        <v>43861.595833333333</v>
      </c>
      <c r="G3618" s="3" t="s">
        <v>1392</v>
      </c>
      <c r="H3618" s="3" t="s">
        <v>5706</v>
      </c>
      <c r="I3618" s="3" t="s">
        <v>7043</v>
      </c>
      <c r="J3618" s="3"/>
      <c r="K3618" s="3"/>
      <c r="L3618" s="5"/>
    </row>
    <row r="3619" spans="1:12" ht="28.8" x14ac:dyDescent="0.55000000000000004">
      <c r="A3619" s="9" t="str">
        <f>HYPERLINK("PDF\FOIA-FWS-2020-00724-0003618.pdf","FOIA-FWS-2020-00724-0003618")</f>
        <v>FOIA-FWS-2020-00724-0003618</v>
      </c>
      <c r="B3619" s="3" t="s">
        <v>5707</v>
      </c>
      <c r="C3619" s="3" t="s">
        <v>3</v>
      </c>
      <c r="D3619" s="3" t="s">
        <v>33</v>
      </c>
      <c r="E3619" s="3" t="s">
        <v>5709</v>
      </c>
      <c r="F3619" s="4">
        <v>43861.59652777778</v>
      </c>
      <c r="G3619" s="3" t="s">
        <v>1392</v>
      </c>
      <c r="H3619" s="3" t="s">
        <v>5708</v>
      </c>
      <c r="I3619" s="3" t="s">
        <v>7043</v>
      </c>
      <c r="J3619" s="3"/>
      <c r="K3619" s="3"/>
      <c r="L3619" s="5"/>
    </row>
    <row r="3620" spans="1:12" ht="28.8" x14ac:dyDescent="0.55000000000000004">
      <c r="A3620" s="9" t="str">
        <f>HYPERLINK("PDF\FOIA-FWS-2020-00724-0003619.pdf","FOIA-FWS-2020-00724-0003619")</f>
        <v>FOIA-FWS-2020-00724-0003619</v>
      </c>
      <c r="B3620" s="3" t="s">
        <v>5710</v>
      </c>
      <c r="C3620" s="3" t="s">
        <v>3</v>
      </c>
      <c r="D3620" s="3" t="s">
        <v>33</v>
      </c>
      <c r="E3620" s="3" t="s">
        <v>5711</v>
      </c>
      <c r="F3620" s="4">
        <v>43861.599999999999</v>
      </c>
      <c r="G3620" s="3" t="s">
        <v>955</v>
      </c>
      <c r="H3620" s="3" t="s">
        <v>872</v>
      </c>
      <c r="I3620" s="3" t="s">
        <v>7043</v>
      </c>
      <c r="J3620" s="3"/>
      <c r="K3620" s="3"/>
      <c r="L3620" s="5"/>
    </row>
    <row r="3621" spans="1:12" ht="28.8" x14ac:dyDescent="0.55000000000000004">
      <c r="A3621" s="9" t="str">
        <f>HYPERLINK("PDF\FOIA-FWS-2020-00724-0003620.pdf","FOIA-FWS-2020-00724-0003620")</f>
        <v>FOIA-FWS-2020-00724-0003620</v>
      </c>
      <c r="B3621" s="3" t="s">
        <v>5712</v>
      </c>
      <c r="C3621" s="3" t="s">
        <v>3</v>
      </c>
      <c r="D3621" s="3" t="s">
        <v>33</v>
      </c>
      <c r="E3621" s="3" t="s">
        <v>5714</v>
      </c>
      <c r="F3621" s="4">
        <v>43861.605555555558</v>
      </c>
      <c r="G3621" s="3" t="s">
        <v>1392</v>
      </c>
      <c r="H3621" s="3" t="s">
        <v>5713</v>
      </c>
      <c r="I3621" s="3" t="s">
        <v>7043</v>
      </c>
      <c r="J3621" s="3"/>
      <c r="K3621" s="3"/>
      <c r="L3621" s="5"/>
    </row>
    <row r="3622" spans="1:12" ht="28.8" x14ac:dyDescent="0.55000000000000004">
      <c r="A3622" s="9" t="str">
        <f>HYPERLINK("PDF\FOIA-FWS-2020-00724-0003621.pdf","FOIA-FWS-2020-00724-0003621")</f>
        <v>FOIA-FWS-2020-00724-0003621</v>
      </c>
      <c r="B3622" s="3" t="s">
        <v>5715</v>
      </c>
      <c r="C3622" s="3" t="s">
        <v>3</v>
      </c>
      <c r="D3622" s="3" t="s">
        <v>33</v>
      </c>
      <c r="E3622" s="3" t="s">
        <v>5679</v>
      </c>
      <c r="F3622" s="4">
        <v>43861.685416666667</v>
      </c>
      <c r="G3622" s="3" t="s">
        <v>919</v>
      </c>
      <c r="H3622" s="3" t="s">
        <v>1392</v>
      </c>
      <c r="I3622" s="3" t="s">
        <v>7043</v>
      </c>
      <c r="J3622" s="3"/>
      <c r="K3622" s="3"/>
      <c r="L3622" s="5"/>
    </row>
    <row r="3623" spans="1:12" ht="43.2" x14ac:dyDescent="0.55000000000000004">
      <c r="A3623" s="9" t="str">
        <f>HYPERLINK("PDF\FOIA-FWS-2020-00724-0003622.pdf","FOIA-FWS-2020-00724-0003622")</f>
        <v>FOIA-FWS-2020-00724-0003622</v>
      </c>
      <c r="B3623" s="3" t="s">
        <v>5716</v>
      </c>
      <c r="C3623" s="3" t="s">
        <v>3</v>
      </c>
      <c r="D3623" s="3" t="s">
        <v>33</v>
      </c>
      <c r="E3623" s="3" t="s">
        <v>5719</v>
      </c>
      <c r="F3623" s="4">
        <v>43861.767361111109</v>
      </c>
      <c r="G3623" s="3" t="s">
        <v>5717</v>
      </c>
      <c r="H3623" s="3" t="s">
        <v>5718</v>
      </c>
      <c r="I3623" s="3" t="s">
        <v>7043</v>
      </c>
      <c r="J3623" s="3"/>
      <c r="K3623" s="3"/>
      <c r="L3623" s="5"/>
    </row>
    <row r="3624" spans="1:12" ht="28.8" x14ac:dyDescent="0.55000000000000004">
      <c r="A3624" s="9" t="str">
        <f>HYPERLINK("PDF\FOIA-FWS-2020-00724-0003623.pdf","FOIA-FWS-2020-00724-0003623")</f>
        <v>FOIA-FWS-2020-00724-0003623</v>
      </c>
      <c r="B3624" s="3" t="s">
        <v>5716</v>
      </c>
      <c r="C3624" s="3" t="s">
        <v>234</v>
      </c>
      <c r="D3624" s="3" t="s">
        <v>33</v>
      </c>
      <c r="E3624" s="3" t="s">
        <v>5720</v>
      </c>
      <c r="F3624" s="4">
        <v>43861.767361111109</v>
      </c>
      <c r="G3624" s="3"/>
      <c r="H3624" s="3"/>
      <c r="I3624" s="3" t="s">
        <v>7043</v>
      </c>
      <c r="J3624" s="3"/>
      <c r="K3624" s="3"/>
      <c r="L3624" s="5" t="str">
        <f>HYPERLINK("NATIVE_FILES\FOIA-FWS-2020-00724-0003623.xlsx","FOIA-FWS-2020-00724-0003623.xlsx")</f>
        <v>FOIA-FWS-2020-00724-0003623.xlsx</v>
      </c>
    </row>
    <row r="3625" spans="1:12" ht="28.8" x14ac:dyDescent="0.55000000000000004">
      <c r="A3625" s="9" t="str">
        <f>HYPERLINK("PDF\FOIA-FWS-2020-00724-0003624.pdf","FOIA-FWS-2020-00724-0003624")</f>
        <v>FOIA-FWS-2020-00724-0003624</v>
      </c>
      <c r="B3625" s="3" t="s">
        <v>5721</v>
      </c>
      <c r="C3625" s="3" t="s">
        <v>3</v>
      </c>
      <c r="D3625" s="3" t="s">
        <v>33</v>
      </c>
      <c r="E3625" s="3" t="s">
        <v>5722</v>
      </c>
      <c r="F3625" s="4">
        <v>43864</v>
      </c>
      <c r="G3625" s="3"/>
      <c r="H3625" s="3"/>
      <c r="I3625" s="3" t="s">
        <v>7043</v>
      </c>
      <c r="J3625" s="3"/>
      <c r="K3625" s="3"/>
      <c r="L3625" s="5"/>
    </row>
    <row r="3626" spans="1:12" ht="28.8" x14ac:dyDescent="0.55000000000000004">
      <c r="A3626" s="9" t="str">
        <f>HYPERLINK("PDF\FOIA-FWS-2020-00724-0003625.pdf","FOIA-FWS-2020-00724-0003625")</f>
        <v>FOIA-FWS-2020-00724-0003625</v>
      </c>
      <c r="B3626" s="3" t="s">
        <v>5723</v>
      </c>
      <c r="C3626" s="3" t="s">
        <v>3</v>
      </c>
      <c r="D3626" s="3" t="s">
        <v>33</v>
      </c>
      <c r="E3626" s="3" t="s">
        <v>1754</v>
      </c>
      <c r="F3626" s="4">
        <v>43864</v>
      </c>
      <c r="G3626" s="3"/>
      <c r="H3626" s="3"/>
      <c r="I3626" s="3" t="s">
        <v>7043</v>
      </c>
      <c r="J3626" s="3"/>
      <c r="K3626" s="3"/>
      <c r="L3626" s="5"/>
    </row>
    <row r="3627" spans="1:12" ht="28.8" x14ac:dyDescent="0.55000000000000004">
      <c r="A3627" s="9" t="str">
        <f>HYPERLINK("PDF\FOIA-FWS-2020-00724-0003626.pdf","FOIA-FWS-2020-00724-0003626")</f>
        <v>FOIA-FWS-2020-00724-0003626</v>
      </c>
      <c r="B3627" s="3" t="s">
        <v>5724</v>
      </c>
      <c r="C3627" s="3" t="s">
        <v>3</v>
      </c>
      <c r="D3627" s="3" t="s">
        <v>33</v>
      </c>
      <c r="E3627" s="3" t="s">
        <v>5725</v>
      </c>
      <c r="F3627" s="4">
        <v>43864.520833333336</v>
      </c>
      <c r="G3627" s="3" t="s">
        <v>1392</v>
      </c>
      <c r="H3627" s="3" t="s">
        <v>963</v>
      </c>
      <c r="I3627" s="3" t="s">
        <v>7043</v>
      </c>
      <c r="J3627" s="3"/>
      <c r="K3627" s="3"/>
      <c r="L3627" s="5"/>
    </row>
    <row r="3628" spans="1:12" ht="28.8" x14ac:dyDescent="0.55000000000000004">
      <c r="A3628" s="9" t="str">
        <f>HYPERLINK("PDF\FOIA-FWS-2020-00724-0003627.pdf","FOIA-FWS-2020-00724-0003627")</f>
        <v>FOIA-FWS-2020-00724-0003627</v>
      </c>
      <c r="B3628" s="3" t="s">
        <v>5726</v>
      </c>
      <c r="C3628" s="3" t="s">
        <v>3</v>
      </c>
      <c r="D3628" s="3" t="s">
        <v>33</v>
      </c>
      <c r="E3628" s="3" t="s">
        <v>5727</v>
      </c>
      <c r="F3628" s="4">
        <v>43864.545138888891</v>
      </c>
      <c r="G3628" s="3" t="s">
        <v>955</v>
      </c>
      <c r="H3628" s="3" t="s">
        <v>5626</v>
      </c>
      <c r="I3628" s="3" t="s">
        <v>7043</v>
      </c>
      <c r="J3628" s="3"/>
      <c r="K3628" s="3"/>
      <c r="L3628" s="5"/>
    </row>
    <row r="3629" spans="1:12" ht="28.8" x14ac:dyDescent="0.55000000000000004">
      <c r="A3629" s="9" t="str">
        <f>HYPERLINK("PDF\FOIA-FWS-2020-00724-0003628.pdf","FOIA-FWS-2020-00724-0003628")</f>
        <v>FOIA-FWS-2020-00724-0003628</v>
      </c>
      <c r="B3629" s="3" t="s">
        <v>5728</v>
      </c>
      <c r="C3629" s="3" t="s">
        <v>3</v>
      </c>
      <c r="D3629" s="3" t="s">
        <v>33</v>
      </c>
      <c r="E3629" s="3" t="s">
        <v>5729</v>
      </c>
      <c r="F3629" s="4">
        <v>43864.552083333336</v>
      </c>
      <c r="G3629" s="3" t="s">
        <v>5579</v>
      </c>
      <c r="H3629" s="3" t="s">
        <v>955</v>
      </c>
      <c r="I3629" s="3" t="s">
        <v>7043</v>
      </c>
      <c r="J3629" s="3"/>
      <c r="K3629" s="3"/>
      <c r="L3629" s="5"/>
    </row>
    <row r="3630" spans="1:12" ht="28.8" x14ac:dyDescent="0.55000000000000004">
      <c r="A3630" s="9" t="str">
        <f>HYPERLINK("PDF\FOIA-FWS-2020-00724-0003629.pdf","FOIA-FWS-2020-00724-0003629")</f>
        <v>FOIA-FWS-2020-00724-0003629</v>
      </c>
      <c r="B3630" s="3" t="s">
        <v>5728</v>
      </c>
      <c r="C3630" s="3" t="s">
        <v>234</v>
      </c>
      <c r="D3630" s="3" t="s">
        <v>33</v>
      </c>
      <c r="E3630" s="3" t="s">
        <v>5730</v>
      </c>
      <c r="F3630" s="4">
        <v>43864.552083333336</v>
      </c>
      <c r="G3630" s="3"/>
      <c r="H3630" s="3"/>
      <c r="I3630" s="3" t="s">
        <v>7043</v>
      </c>
      <c r="J3630" s="3"/>
      <c r="K3630" s="3"/>
      <c r="L3630" s="5" t="str">
        <f>HYPERLINK("NATIVE_FILES\FOIA-FWS-2020-00724-0003629.xls","FOIA-FWS-2020-00724-0003629.xls")</f>
        <v>FOIA-FWS-2020-00724-0003629.xls</v>
      </c>
    </row>
    <row r="3631" spans="1:12" ht="28.8" x14ac:dyDescent="0.55000000000000004">
      <c r="A3631" s="9" t="str">
        <f>HYPERLINK("PDF\FOIA-FWS-2020-00724-0003630.pdf","FOIA-FWS-2020-00724-0003630")</f>
        <v>FOIA-FWS-2020-00724-0003630</v>
      </c>
      <c r="B3631" s="3" t="s">
        <v>5728</v>
      </c>
      <c r="C3631" s="3" t="s">
        <v>234</v>
      </c>
      <c r="D3631" s="3" t="s">
        <v>33</v>
      </c>
      <c r="E3631" s="3" t="s">
        <v>5731</v>
      </c>
      <c r="F3631" s="4">
        <v>43864.552083333336</v>
      </c>
      <c r="G3631" s="3"/>
      <c r="H3631" s="3"/>
      <c r="I3631" s="3" t="s">
        <v>7043</v>
      </c>
      <c r="J3631" s="3"/>
      <c r="K3631" s="3"/>
      <c r="L3631" s="5"/>
    </row>
    <row r="3632" spans="1:12" ht="28.8" x14ac:dyDescent="0.55000000000000004">
      <c r="A3632" s="9" t="str">
        <f>HYPERLINK("PDF\FOIA-FWS-2020-00724-0003631.pdf","FOIA-FWS-2020-00724-0003631")</f>
        <v>FOIA-FWS-2020-00724-0003631</v>
      </c>
      <c r="B3632" s="3" t="s">
        <v>5732</v>
      </c>
      <c r="C3632" s="3" t="s">
        <v>3</v>
      </c>
      <c r="D3632" s="3" t="s">
        <v>33</v>
      </c>
      <c r="E3632" s="3" t="s">
        <v>5733</v>
      </c>
      <c r="F3632" s="4">
        <v>43864.644444444442</v>
      </c>
      <c r="G3632" s="3" t="s">
        <v>1392</v>
      </c>
      <c r="H3632" s="3" t="s">
        <v>919</v>
      </c>
      <c r="I3632" s="3" t="s">
        <v>7043</v>
      </c>
      <c r="J3632" s="3"/>
      <c r="K3632" s="3"/>
      <c r="L3632" s="5"/>
    </row>
    <row r="3633" spans="1:12" ht="28.8" x14ac:dyDescent="0.55000000000000004">
      <c r="A3633" s="9" t="str">
        <f>HYPERLINK("PDF\FOIA-FWS-2020-00724-0003632.pdf","FOIA-FWS-2020-00724-0003632")</f>
        <v>FOIA-FWS-2020-00724-0003632</v>
      </c>
      <c r="B3633" s="3" t="s">
        <v>5734</v>
      </c>
      <c r="C3633" s="3" t="s">
        <v>3</v>
      </c>
      <c r="D3633" s="3" t="s">
        <v>33</v>
      </c>
      <c r="E3633" s="3" t="s">
        <v>5735</v>
      </c>
      <c r="F3633" s="4">
        <v>43864.650694444441</v>
      </c>
      <c r="G3633" s="3" t="s">
        <v>963</v>
      </c>
      <c r="H3633" s="3" t="s">
        <v>852</v>
      </c>
      <c r="I3633" s="3" t="s">
        <v>7043</v>
      </c>
      <c r="J3633" s="3"/>
      <c r="K3633" s="3"/>
      <c r="L3633" s="5"/>
    </row>
    <row r="3634" spans="1:12" ht="28.8" x14ac:dyDescent="0.55000000000000004">
      <c r="A3634" s="9" t="str">
        <f>HYPERLINK("PDF\FOIA-FWS-2020-00724-0003633.pdf","FOIA-FWS-2020-00724-0003633")</f>
        <v>FOIA-FWS-2020-00724-0003633</v>
      </c>
      <c r="B3634" s="3" t="s">
        <v>5736</v>
      </c>
      <c r="C3634" s="3" t="s">
        <v>3</v>
      </c>
      <c r="D3634" s="3" t="s">
        <v>33</v>
      </c>
      <c r="E3634" s="3" t="s">
        <v>5738</v>
      </c>
      <c r="F3634" s="4">
        <v>43864.668749999997</v>
      </c>
      <c r="G3634" s="3" t="s">
        <v>955</v>
      </c>
      <c r="H3634" s="3" t="s">
        <v>5737</v>
      </c>
      <c r="I3634" s="3" t="s">
        <v>7043</v>
      </c>
      <c r="J3634" s="3"/>
      <c r="K3634" s="3"/>
      <c r="L3634" s="5"/>
    </row>
    <row r="3635" spans="1:12" ht="28.8" x14ac:dyDescent="0.55000000000000004">
      <c r="A3635" s="9" t="str">
        <f>HYPERLINK("PDF\FOIA-FWS-2020-00724-0003634.pdf","FOIA-FWS-2020-00724-0003634")</f>
        <v>FOIA-FWS-2020-00724-0003634</v>
      </c>
      <c r="B3635" s="3" t="s">
        <v>5739</v>
      </c>
      <c r="C3635" s="3" t="s">
        <v>3</v>
      </c>
      <c r="D3635" s="3" t="s">
        <v>33</v>
      </c>
      <c r="E3635" s="3" t="s">
        <v>5607</v>
      </c>
      <c r="F3635" s="4">
        <v>43864.686805555553</v>
      </c>
      <c r="G3635" s="3" t="s">
        <v>955</v>
      </c>
      <c r="H3635" s="3" t="s">
        <v>861</v>
      </c>
      <c r="I3635" s="3" t="s">
        <v>7043</v>
      </c>
      <c r="J3635" s="3"/>
      <c r="K3635" s="3"/>
      <c r="L3635" s="5"/>
    </row>
    <row r="3636" spans="1:12" ht="129.6" x14ac:dyDescent="0.55000000000000004">
      <c r="A3636" s="9" t="str">
        <f>HYPERLINK("PDF\FOIA-FWS-2020-00724-0003635.pdf","FOIA-FWS-2020-00724-0003635")</f>
        <v>FOIA-FWS-2020-00724-0003635</v>
      </c>
      <c r="B3636" s="3" t="s">
        <v>5740</v>
      </c>
      <c r="C3636" s="3" t="s">
        <v>3</v>
      </c>
      <c r="D3636" s="3" t="s">
        <v>33</v>
      </c>
      <c r="E3636" s="3" t="s">
        <v>5743</v>
      </c>
      <c r="F3636" s="4">
        <v>43864.71597222222</v>
      </c>
      <c r="G3636" s="3" t="s">
        <v>5741</v>
      </c>
      <c r="H3636" s="3" t="s">
        <v>5742</v>
      </c>
      <c r="I3636" s="3" t="s">
        <v>7043</v>
      </c>
      <c r="J3636" s="3"/>
      <c r="K3636" s="3"/>
      <c r="L3636" s="5"/>
    </row>
    <row r="3637" spans="1:12" ht="28.8" x14ac:dyDescent="0.55000000000000004">
      <c r="A3637" s="9" t="str">
        <f>HYPERLINK("PDF\FOIA-FWS-2020-00724-0003636.pdf","FOIA-FWS-2020-00724-0003636")</f>
        <v>FOIA-FWS-2020-00724-0003636</v>
      </c>
      <c r="B3637" s="3" t="s">
        <v>5744</v>
      </c>
      <c r="C3637" s="3" t="s">
        <v>3</v>
      </c>
      <c r="D3637" s="3" t="s">
        <v>33</v>
      </c>
      <c r="E3637" s="3" t="s">
        <v>5745</v>
      </c>
      <c r="F3637" s="4">
        <v>43864.717361111114</v>
      </c>
      <c r="G3637" s="3" t="s">
        <v>1392</v>
      </c>
      <c r="H3637" s="3" t="s">
        <v>955</v>
      </c>
      <c r="I3637" s="3" t="s">
        <v>7043</v>
      </c>
      <c r="J3637" s="3"/>
      <c r="K3637" s="3"/>
      <c r="L3637" s="5"/>
    </row>
    <row r="3638" spans="1:12" ht="28.8" x14ac:dyDescent="0.55000000000000004">
      <c r="A3638" s="9" t="str">
        <f>HYPERLINK("PDF\FOIA-FWS-2020-00724-0003637.pdf","FOIA-FWS-2020-00724-0003637")</f>
        <v>FOIA-FWS-2020-00724-0003637</v>
      </c>
      <c r="B3638" s="3" t="s">
        <v>5746</v>
      </c>
      <c r="C3638" s="3" t="s">
        <v>3</v>
      </c>
      <c r="D3638" s="3" t="s">
        <v>33</v>
      </c>
      <c r="E3638" s="3" t="s">
        <v>5747</v>
      </c>
      <c r="F3638" s="4">
        <v>43865</v>
      </c>
      <c r="G3638" s="3"/>
      <c r="H3638" s="3"/>
      <c r="I3638" s="3" t="s">
        <v>7043</v>
      </c>
      <c r="J3638" s="3"/>
      <c r="K3638" s="3"/>
      <c r="L3638" s="5"/>
    </row>
    <row r="3639" spans="1:12" ht="28.8" x14ac:dyDescent="0.55000000000000004">
      <c r="A3639" s="9" t="str">
        <f>HYPERLINK("PDF\FOIA-FWS-2020-00724-0003638.pdf","FOIA-FWS-2020-00724-0003638")</f>
        <v>FOIA-FWS-2020-00724-0003638</v>
      </c>
      <c r="B3639" s="3" t="s">
        <v>5748</v>
      </c>
      <c r="C3639" s="3" t="s">
        <v>3</v>
      </c>
      <c r="D3639" s="3" t="s">
        <v>33</v>
      </c>
      <c r="E3639" s="3" t="s">
        <v>5749</v>
      </c>
      <c r="F3639" s="4">
        <v>43865</v>
      </c>
      <c r="G3639" s="3"/>
      <c r="H3639" s="3"/>
      <c r="I3639" s="3" t="s">
        <v>7043</v>
      </c>
      <c r="J3639" s="3"/>
      <c r="K3639" s="3"/>
      <c r="L3639" s="5"/>
    </row>
    <row r="3640" spans="1:12" ht="43.2" x14ac:dyDescent="0.55000000000000004">
      <c r="A3640" s="9" t="str">
        <f>HYPERLINK("PDF\FOIA-FWS-2020-00724-0003639.pdf","FOIA-FWS-2020-00724-0003639")</f>
        <v>FOIA-FWS-2020-00724-0003639</v>
      </c>
      <c r="B3640" s="3" t="s">
        <v>5750</v>
      </c>
      <c r="C3640" s="3" t="s">
        <v>3</v>
      </c>
      <c r="D3640" s="3" t="s">
        <v>33</v>
      </c>
      <c r="E3640" s="3" t="s">
        <v>5751</v>
      </c>
      <c r="F3640" s="4">
        <v>43865</v>
      </c>
      <c r="G3640" s="3"/>
      <c r="H3640" s="3"/>
      <c r="I3640" s="3" t="s">
        <v>7043</v>
      </c>
      <c r="J3640" s="3"/>
      <c r="K3640" s="3"/>
      <c r="L3640" s="5"/>
    </row>
    <row r="3641" spans="1:12" ht="28.8" x14ac:dyDescent="0.55000000000000004">
      <c r="A3641" s="9" t="str">
        <f>HYPERLINK("PDF\FOIA-FWS-2020-00724-0003640.pdf","FOIA-FWS-2020-00724-0003640")</f>
        <v>FOIA-FWS-2020-00724-0003640</v>
      </c>
      <c r="B3641" s="3" t="s">
        <v>5752</v>
      </c>
      <c r="C3641" s="3" t="s">
        <v>3</v>
      </c>
      <c r="D3641" s="3" t="s">
        <v>33</v>
      </c>
      <c r="E3641" s="3" t="s">
        <v>5753</v>
      </c>
      <c r="F3641" s="4">
        <v>43865.504861111112</v>
      </c>
      <c r="G3641" s="3" t="s">
        <v>872</v>
      </c>
      <c r="H3641" s="3" t="s">
        <v>1332</v>
      </c>
      <c r="I3641" s="3" t="s">
        <v>7043</v>
      </c>
      <c r="J3641" s="3"/>
      <c r="K3641" s="3"/>
      <c r="L3641" s="5"/>
    </row>
    <row r="3642" spans="1:12" ht="57.6" x14ac:dyDescent="0.55000000000000004">
      <c r="A3642" s="9" t="str">
        <f>HYPERLINK("PDF\FOIA-FWS-2020-00724-0003641.pdf","FOIA-FWS-2020-00724-0003641")</f>
        <v>FOIA-FWS-2020-00724-0003641</v>
      </c>
      <c r="B3642" s="3" t="s">
        <v>5754</v>
      </c>
      <c r="C3642" s="3" t="s">
        <v>3</v>
      </c>
      <c r="D3642" s="3" t="s">
        <v>33</v>
      </c>
      <c r="E3642" s="3" t="s">
        <v>5756</v>
      </c>
      <c r="F3642" s="4">
        <v>43865.522222222222</v>
      </c>
      <c r="G3642" s="3" t="s">
        <v>872</v>
      </c>
      <c r="H3642" s="3" t="s">
        <v>5755</v>
      </c>
      <c r="I3642" s="3" t="s">
        <v>7043</v>
      </c>
      <c r="J3642" s="3"/>
      <c r="K3642" s="3"/>
      <c r="L3642" s="5"/>
    </row>
    <row r="3643" spans="1:12" ht="43.2" x14ac:dyDescent="0.55000000000000004">
      <c r="A3643" s="9" t="str">
        <f>HYPERLINK("PDF\FOIA-FWS-2020-00724-0003642.pdf","FOIA-FWS-2020-00724-0003642")</f>
        <v>FOIA-FWS-2020-00724-0003642</v>
      </c>
      <c r="B3643" s="3" t="s">
        <v>5757</v>
      </c>
      <c r="C3643" s="3" t="s">
        <v>3</v>
      </c>
      <c r="D3643" s="3" t="s">
        <v>33</v>
      </c>
      <c r="E3643" s="3" t="s">
        <v>5758</v>
      </c>
      <c r="F3643" s="4">
        <v>43865.532638888886</v>
      </c>
      <c r="G3643" s="3" t="s">
        <v>872</v>
      </c>
      <c r="H3643" s="3" t="s">
        <v>5755</v>
      </c>
      <c r="I3643" s="3" t="s">
        <v>7043</v>
      </c>
      <c r="J3643" s="3"/>
      <c r="K3643" s="3"/>
      <c r="L3643" s="5"/>
    </row>
    <row r="3644" spans="1:12" ht="28.8" x14ac:dyDescent="0.55000000000000004">
      <c r="A3644" s="9" t="str">
        <f>HYPERLINK("PDF\FOIA-FWS-2020-00724-0003643.pdf","FOIA-FWS-2020-00724-0003643")</f>
        <v>FOIA-FWS-2020-00724-0003643</v>
      </c>
      <c r="B3644" s="3" t="s">
        <v>5759</v>
      </c>
      <c r="C3644" s="3" t="s">
        <v>3</v>
      </c>
      <c r="D3644" s="3" t="s">
        <v>33</v>
      </c>
      <c r="E3644" s="3" t="s">
        <v>5760</v>
      </c>
      <c r="F3644" s="4">
        <v>43865.540277777778</v>
      </c>
      <c r="G3644" s="3" t="s">
        <v>1119</v>
      </c>
      <c r="H3644" s="3" t="s">
        <v>1719</v>
      </c>
      <c r="I3644" s="3" t="s">
        <v>7043</v>
      </c>
      <c r="J3644" s="3"/>
      <c r="K3644" s="3"/>
      <c r="L3644" s="5"/>
    </row>
    <row r="3645" spans="1:12" ht="28.8" x14ac:dyDescent="0.55000000000000004">
      <c r="A3645" s="9" t="str">
        <f>HYPERLINK("PDF\FOIA-FWS-2020-00724-0003644.pdf","FOIA-FWS-2020-00724-0003644")</f>
        <v>FOIA-FWS-2020-00724-0003644</v>
      </c>
      <c r="B3645" s="3" t="s">
        <v>5759</v>
      </c>
      <c r="C3645" s="3" t="s">
        <v>234</v>
      </c>
      <c r="D3645" s="3" t="s">
        <v>160</v>
      </c>
      <c r="E3645" s="3" t="s">
        <v>5761</v>
      </c>
      <c r="F3645" s="4">
        <v>43865.540277777778</v>
      </c>
      <c r="G3645" s="3"/>
      <c r="H3645" s="3"/>
      <c r="I3645" s="3" t="s">
        <v>7043</v>
      </c>
      <c r="J3645" s="3"/>
      <c r="K3645" s="3"/>
      <c r="L3645" s="5"/>
    </row>
    <row r="3646" spans="1:12" ht="28.8" x14ac:dyDescent="0.55000000000000004">
      <c r="A3646" s="9" t="str">
        <f>HYPERLINK("PDF\FOIA-FWS-2020-00724-0003645.pdf","FOIA-FWS-2020-00724-0003645")</f>
        <v>FOIA-FWS-2020-00724-0003645</v>
      </c>
      <c r="B3646" s="3" t="s">
        <v>5762</v>
      </c>
      <c r="C3646" s="3" t="s">
        <v>3</v>
      </c>
      <c r="D3646" s="3" t="s">
        <v>33</v>
      </c>
      <c r="E3646" s="3" t="s">
        <v>5765</v>
      </c>
      <c r="F3646" s="4">
        <v>43865.579861111109</v>
      </c>
      <c r="G3646" s="3" t="s">
        <v>5763</v>
      </c>
      <c r="H3646" s="3" t="s">
        <v>5764</v>
      </c>
      <c r="I3646" s="3" t="s">
        <v>7043</v>
      </c>
      <c r="J3646" s="3"/>
      <c r="K3646" s="3"/>
      <c r="L3646" s="5"/>
    </row>
    <row r="3647" spans="1:12" ht="28.8" x14ac:dyDescent="0.55000000000000004">
      <c r="A3647" s="9" t="str">
        <f>HYPERLINK("PDF\FOIA-FWS-2020-00724-0003646.pdf","FOIA-FWS-2020-00724-0003646")</f>
        <v>FOIA-FWS-2020-00724-0003646</v>
      </c>
      <c r="B3647" s="3" t="s">
        <v>5766</v>
      </c>
      <c r="C3647" s="3" t="s">
        <v>3</v>
      </c>
      <c r="D3647" s="3" t="s">
        <v>33</v>
      </c>
      <c r="E3647" s="3" t="s">
        <v>5768</v>
      </c>
      <c r="F3647" s="4">
        <v>43865.588888888888</v>
      </c>
      <c r="G3647" s="3" t="s">
        <v>963</v>
      </c>
      <c r="H3647" s="3" t="s">
        <v>5767</v>
      </c>
      <c r="I3647" s="3" t="s">
        <v>7043</v>
      </c>
      <c r="J3647" s="3"/>
      <c r="K3647" s="3"/>
      <c r="L3647" s="5"/>
    </row>
    <row r="3648" spans="1:12" ht="28.8" x14ac:dyDescent="0.55000000000000004">
      <c r="A3648" s="9" t="str">
        <f>HYPERLINK("PDF\FOIA-FWS-2020-00724-0003647.pdf","FOIA-FWS-2020-00724-0003647")</f>
        <v>FOIA-FWS-2020-00724-0003647</v>
      </c>
      <c r="B3648" s="3" t="s">
        <v>5766</v>
      </c>
      <c r="C3648" s="3" t="s">
        <v>234</v>
      </c>
      <c r="D3648" s="3" t="s">
        <v>33</v>
      </c>
      <c r="E3648" s="3" t="s">
        <v>5769</v>
      </c>
      <c r="F3648" s="4">
        <v>43865.588888888888</v>
      </c>
      <c r="G3648" s="3"/>
      <c r="H3648" s="3"/>
      <c r="I3648" s="3" t="s">
        <v>7043</v>
      </c>
      <c r="J3648" s="3"/>
      <c r="K3648" s="3"/>
      <c r="L3648" s="5" t="str">
        <f>HYPERLINK("NATIVE_FILES\FOIA-FWS-2020-00724-0003647.xlsx","FOIA-FWS-2020-00724-0003647.xlsx")</f>
        <v>FOIA-FWS-2020-00724-0003647.xlsx</v>
      </c>
    </row>
    <row r="3649" spans="1:12" ht="28.8" x14ac:dyDescent="0.55000000000000004">
      <c r="A3649" s="9" t="str">
        <f>HYPERLINK("PDF\FOIA-FWS-2020-00724-0003648.pdf","FOIA-FWS-2020-00724-0003648")</f>
        <v>FOIA-FWS-2020-00724-0003648</v>
      </c>
      <c r="B3649" s="3" t="s">
        <v>5766</v>
      </c>
      <c r="C3649" s="3" t="s">
        <v>234</v>
      </c>
      <c r="D3649" s="3" t="s">
        <v>33</v>
      </c>
      <c r="E3649" s="3" t="s">
        <v>5770</v>
      </c>
      <c r="F3649" s="4">
        <v>43865.588888888888</v>
      </c>
      <c r="G3649" s="3"/>
      <c r="H3649" s="3"/>
      <c r="I3649" s="3" t="s">
        <v>7043</v>
      </c>
      <c r="J3649" s="3"/>
      <c r="K3649" s="3"/>
      <c r="L3649" s="5" t="str">
        <f>HYPERLINK("NATIVE_FILES\FOIA-FWS-2020-00724-0003648.xlsx","FOIA-FWS-2020-00724-0003648.xlsx")</f>
        <v>FOIA-FWS-2020-00724-0003648.xlsx</v>
      </c>
    </row>
    <row r="3650" spans="1:12" ht="28.8" x14ac:dyDescent="0.55000000000000004">
      <c r="A3650" s="9" t="str">
        <f>HYPERLINK("PDF\FOIA-FWS-2020-00724-0003649.pdf","FOIA-FWS-2020-00724-0003649")</f>
        <v>FOIA-FWS-2020-00724-0003649</v>
      </c>
      <c r="B3650" s="3" t="s">
        <v>5771</v>
      </c>
      <c r="C3650" s="3" t="s">
        <v>3</v>
      </c>
      <c r="D3650" s="3" t="s">
        <v>33</v>
      </c>
      <c r="E3650" s="3" t="s">
        <v>5773</v>
      </c>
      <c r="F3650" s="4">
        <v>43865.599999999999</v>
      </c>
      <c r="G3650" s="3" t="s">
        <v>5772</v>
      </c>
      <c r="H3650" s="3" t="s">
        <v>963</v>
      </c>
      <c r="I3650" s="3" t="s">
        <v>7043</v>
      </c>
      <c r="J3650" s="3"/>
      <c r="K3650" s="3"/>
      <c r="L3650" s="5"/>
    </row>
    <row r="3651" spans="1:12" ht="28.8" x14ac:dyDescent="0.55000000000000004">
      <c r="A3651" s="9" t="str">
        <f>HYPERLINK("PDF\FOIA-FWS-2020-00724-0003650.pdf","FOIA-FWS-2020-00724-0003650")</f>
        <v>FOIA-FWS-2020-00724-0003650</v>
      </c>
      <c r="B3651" s="3" t="s">
        <v>5774</v>
      </c>
      <c r="C3651" s="3" t="s">
        <v>3</v>
      </c>
      <c r="D3651" s="3" t="s">
        <v>33</v>
      </c>
      <c r="E3651" s="3" t="s">
        <v>5776</v>
      </c>
      <c r="F3651" s="4">
        <v>43865.674305555556</v>
      </c>
      <c r="G3651" s="3" t="s">
        <v>872</v>
      </c>
      <c r="H3651" s="3" t="s">
        <v>5775</v>
      </c>
      <c r="I3651" s="3" t="s">
        <v>864</v>
      </c>
      <c r="J3651" s="3" t="s">
        <v>7046</v>
      </c>
      <c r="K3651" s="3" t="s">
        <v>7036</v>
      </c>
      <c r="L3651" s="5"/>
    </row>
    <row r="3652" spans="1:12" ht="28.8" x14ac:dyDescent="0.55000000000000004">
      <c r="A3652" s="9" t="str">
        <f>HYPERLINK("PDF\FOIA-FWS-2020-00724-0003651.pdf","FOIA-FWS-2020-00724-0003651")</f>
        <v>FOIA-FWS-2020-00724-0003651</v>
      </c>
      <c r="B3652" s="3" t="s">
        <v>5777</v>
      </c>
      <c r="C3652" s="3" t="s">
        <v>3</v>
      </c>
      <c r="D3652" s="3" t="s">
        <v>33</v>
      </c>
      <c r="E3652" s="3" t="s">
        <v>5778</v>
      </c>
      <c r="F3652" s="4">
        <v>43865.690972222219</v>
      </c>
      <c r="G3652" s="3" t="s">
        <v>963</v>
      </c>
      <c r="H3652" s="3" t="s">
        <v>1332</v>
      </c>
      <c r="I3652" s="3" t="s">
        <v>7043</v>
      </c>
      <c r="J3652" s="3"/>
      <c r="K3652" s="3"/>
      <c r="L3652" s="5"/>
    </row>
    <row r="3653" spans="1:12" ht="28.8" x14ac:dyDescent="0.55000000000000004">
      <c r="A3653" s="9" t="str">
        <f>HYPERLINK("PDF\FOIA-FWS-2020-00724-0003652.pdf","FOIA-FWS-2020-00724-0003652")</f>
        <v>FOIA-FWS-2020-00724-0003652</v>
      </c>
      <c r="B3653" s="3" t="s">
        <v>5779</v>
      </c>
      <c r="C3653" s="3" t="s">
        <v>3</v>
      </c>
      <c r="D3653" s="3" t="s">
        <v>33</v>
      </c>
      <c r="E3653" s="3" t="s">
        <v>5780</v>
      </c>
      <c r="F3653" s="4">
        <v>43865.77847222222</v>
      </c>
      <c r="G3653" s="3" t="s">
        <v>1719</v>
      </c>
      <c r="H3653" s="3" t="s">
        <v>3298</v>
      </c>
      <c r="I3653" s="3" t="s">
        <v>7043</v>
      </c>
      <c r="J3653" s="3"/>
      <c r="K3653" s="3"/>
      <c r="L3653" s="5"/>
    </row>
    <row r="3654" spans="1:12" ht="57.6" x14ac:dyDescent="0.55000000000000004">
      <c r="A3654" s="9" t="str">
        <f>HYPERLINK("PDF\FOIA-FWS-2020-00724-0003653.pdf","FOIA-FWS-2020-00724-0003653")</f>
        <v>FOIA-FWS-2020-00724-0003653</v>
      </c>
      <c r="B3654" s="3" t="s">
        <v>5781</v>
      </c>
      <c r="C3654" s="3" t="s">
        <v>3</v>
      </c>
      <c r="D3654" s="3" t="s">
        <v>33</v>
      </c>
      <c r="E3654" s="3" t="s">
        <v>5783</v>
      </c>
      <c r="F3654" s="4">
        <v>43865.790972222225</v>
      </c>
      <c r="G3654" s="3" t="s">
        <v>963</v>
      </c>
      <c r="H3654" s="3" t="s">
        <v>5782</v>
      </c>
      <c r="I3654" s="3" t="s">
        <v>7043</v>
      </c>
      <c r="J3654" s="3"/>
      <c r="K3654" s="3"/>
      <c r="L3654" s="5"/>
    </row>
    <row r="3655" spans="1:12" ht="28.8" x14ac:dyDescent="0.55000000000000004">
      <c r="A3655" s="9" t="str">
        <f>HYPERLINK("PDF\FOIA-FWS-2020-00724-0003654.pdf","FOIA-FWS-2020-00724-0003654")</f>
        <v>FOIA-FWS-2020-00724-0003654</v>
      </c>
      <c r="B3655" s="3" t="s">
        <v>5781</v>
      </c>
      <c r="C3655" s="3" t="s">
        <v>234</v>
      </c>
      <c r="D3655" s="3" t="s">
        <v>33</v>
      </c>
      <c r="E3655" s="3" t="s">
        <v>5784</v>
      </c>
      <c r="F3655" s="4">
        <v>43865.790972222225</v>
      </c>
      <c r="G3655" s="3"/>
      <c r="H3655" s="3"/>
      <c r="I3655" s="3" t="s">
        <v>7043</v>
      </c>
      <c r="J3655" s="3"/>
      <c r="K3655" s="3"/>
      <c r="L3655" s="5"/>
    </row>
    <row r="3656" spans="1:12" ht="28.8" x14ac:dyDescent="0.55000000000000004">
      <c r="A3656" s="9" t="str">
        <f>HYPERLINK("PDF\FOIA-FWS-2020-00724-0003655.pdf","FOIA-FWS-2020-00724-0003655")</f>
        <v>FOIA-FWS-2020-00724-0003655</v>
      </c>
      <c r="B3656" s="3" t="s">
        <v>5785</v>
      </c>
      <c r="C3656" s="3" t="s">
        <v>3</v>
      </c>
      <c r="D3656" s="3" t="s">
        <v>33</v>
      </c>
      <c r="E3656" s="3" t="s">
        <v>4725</v>
      </c>
      <c r="F3656" s="4">
        <v>43866</v>
      </c>
      <c r="G3656" s="3"/>
      <c r="H3656" s="3"/>
      <c r="I3656" s="3" t="s">
        <v>7043</v>
      </c>
      <c r="J3656" s="3"/>
      <c r="K3656" s="3"/>
      <c r="L3656" s="5"/>
    </row>
    <row r="3657" spans="1:12" ht="28.8" x14ac:dyDescent="0.55000000000000004">
      <c r="A3657" s="9" t="str">
        <f>HYPERLINK("PDF\FOIA-FWS-2020-00724-0003656.pdf","FOIA-FWS-2020-00724-0003656")</f>
        <v>FOIA-FWS-2020-00724-0003656</v>
      </c>
      <c r="B3657" s="3" t="s">
        <v>5786</v>
      </c>
      <c r="C3657" s="3" t="s">
        <v>3</v>
      </c>
      <c r="D3657" s="3" t="s">
        <v>33</v>
      </c>
      <c r="E3657" s="3" t="s">
        <v>5787</v>
      </c>
      <c r="F3657" s="4">
        <v>43866</v>
      </c>
      <c r="G3657" s="3"/>
      <c r="H3657" s="3"/>
      <c r="I3657" s="3" t="s">
        <v>7043</v>
      </c>
      <c r="J3657" s="3"/>
      <c r="K3657" s="3"/>
      <c r="L3657" s="5"/>
    </row>
    <row r="3658" spans="1:12" ht="28.8" x14ac:dyDescent="0.55000000000000004">
      <c r="A3658" s="9" t="str">
        <f>HYPERLINK("PDF\FOIA-FWS-2020-00724-0003657.pdf","FOIA-FWS-2020-00724-0003657")</f>
        <v>FOIA-FWS-2020-00724-0003657</v>
      </c>
      <c r="B3658" s="3" t="s">
        <v>5788</v>
      </c>
      <c r="C3658" s="3" t="s">
        <v>3</v>
      </c>
      <c r="D3658" s="3" t="s">
        <v>33</v>
      </c>
      <c r="E3658" s="3" t="s">
        <v>5789</v>
      </c>
      <c r="F3658" s="4">
        <v>43866</v>
      </c>
      <c r="G3658" s="3" t="s">
        <v>955</v>
      </c>
      <c r="H3658" s="3" t="s">
        <v>861</v>
      </c>
      <c r="I3658" s="3" t="s">
        <v>7043</v>
      </c>
      <c r="J3658" s="3"/>
      <c r="K3658" s="3"/>
      <c r="L3658" s="5"/>
    </row>
    <row r="3659" spans="1:12" ht="57.6" x14ac:dyDescent="0.55000000000000004">
      <c r="A3659" s="9" t="str">
        <f>HYPERLINK("PDF\FOIA-FWS-2020-00724-0003658.pdf","FOIA-FWS-2020-00724-0003658")</f>
        <v>FOIA-FWS-2020-00724-0003658</v>
      </c>
      <c r="B3659" s="3" t="s">
        <v>5790</v>
      </c>
      <c r="C3659" s="3" t="s">
        <v>3</v>
      </c>
      <c r="D3659" s="3" t="s">
        <v>33</v>
      </c>
      <c r="E3659" s="3" t="s">
        <v>5783</v>
      </c>
      <c r="F3659" s="4">
        <v>43866.43472222222</v>
      </c>
      <c r="G3659" s="3" t="s">
        <v>963</v>
      </c>
      <c r="H3659" s="3" t="s">
        <v>5782</v>
      </c>
      <c r="I3659" s="3" t="s">
        <v>7043</v>
      </c>
      <c r="J3659" s="3"/>
      <c r="K3659" s="3"/>
      <c r="L3659" s="5"/>
    </row>
    <row r="3660" spans="1:12" ht="28.8" x14ac:dyDescent="0.55000000000000004">
      <c r="A3660" s="9" t="str">
        <f>HYPERLINK("PDF\FOIA-FWS-2020-00724-0003659.pdf","FOIA-FWS-2020-00724-0003659")</f>
        <v>FOIA-FWS-2020-00724-0003659</v>
      </c>
      <c r="B3660" s="3" t="s">
        <v>5790</v>
      </c>
      <c r="C3660" s="3" t="s">
        <v>234</v>
      </c>
      <c r="D3660" s="3" t="s">
        <v>33</v>
      </c>
      <c r="E3660" s="3" t="s">
        <v>5791</v>
      </c>
      <c r="F3660" s="4">
        <v>43866.43472222222</v>
      </c>
      <c r="G3660" s="3"/>
      <c r="H3660" s="3"/>
      <c r="I3660" s="3" t="s">
        <v>7043</v>
      </c>
      <c r="J3660" s="3"/>
      <c r="K3660" s="3"/>
      <c r="L3660" s="5"/>
    </row>
    <row r="3661" spans="1:12" ht="28.8" x14ac:dyDescent="0.55000000000000004">
      <c r="A3661" s="9" t="str">
        <f>HYPERLINK("PDF\FOIA-FWS-2020-00724-0003660.pdf","FOIA-FWS-2020-00724-0003660")</f>
        <v>FOIA-FWS-2020-00724-0003660</v>
      </c>
      <c r="B3661" s="3" t="s">
        <v>5792</v>
      </c>
      <c r="C3661" s="3" t="s">
        <v>3</v>
      </c>
      <c r="D3661" s="3" t="s">
        <v>33</v>
      </c>
      <c r="E3661" s="3" t="s">
        <v>5794</v>
      </c>
      <c r="F3661" s="4">
        <v>43866.53402777778</v>
      </c>
      <c r="G3661" s="3" t="s">
        <v>963</v>
      </c>
      <c r="H3661" s="3" t="s">
        <v>5793</v>
      </c>
      <c r="I3661" s="3" t="s">
        <v>7043</v>
      </c>
      <c r="J3661" s="3"/>
      <c r="K3661" s="3"/>
      <c r="L3661" s="5"/>
    </row>
    <row r="3662" spans="1:12" ht="28.8" x14ac:dyDescent="0.55000000000000004">
      <c r="A3662" s="9" t="str">
        <f>HYPERLINK("PDF\FOIA-FWS-2020-00724-0003661.pdf","FOIA-FWS-2020-00724-0003661")</f>
        <v>FOIA-FWS-2020-00724-0003661</v>
      </c>
      <c r="B3662" s="3" t="s">
        <v>5792</v>
      </c>
      <c r="C3662" s="3" t="s">
        <v>234</v>
      </c>
      <c r="D3662" s="3" t="s">
        <v>33</v>
      </c>
      <c r="E3662" s="3" t="s">
        <v>5795</v>
      </c>
      <c r="F3662" s="4">
        <v>43866.53402777778</v>
      </c>
      <c r="G3662" s="3"/>
      <c r="H3662" s="3"/>
      <c r="I3662" s="3" t="s">
        <v>7043</v>
      </c>
      <c r="J3662" s="3"/>
      <c r="K3662" s="3"/>
      <c r="L3662" s="5"/>
    </row>
    <row r="3663" spans="1:12" ht="28.8" x14ac:dyDescent="0.55000000000000004">
      <c r="A3663" s="9" t="str">
        <f>HYPERLINK("PDF\FOIA-FWS-2020-00724-0003662.pdf","FOIA-FWS-2020-00724-0003662")</f>
        <v>FOIA-FWS-2020-00724-0003662</v>
      </c>
      <c r="B3663" s="3" t="s">
        <v>5796</v>
      </c>
      <c r="C3663" s="3" t="s">
        <v>3</v>
      </c>
      <c r="D3663" s="3" t="s">
        <v>33</v>
      </c>
      <c r="E3663" s="3" t="s">
        <v>5797</v>
      </c>
      <c r="F3663" s="4">
        <v>43866.577777777777</v>
      </c>
      <c r="G3663" s="3" t="s">
        <v>963</v>
      </c>
      <c r="H3663" s="3" t="s">
        <v>945</v>
      </c>
      <c r="I3663" s="3" t="s">
        <v>7043</v>
      </c>
      <c r="J3663" s="3"/>
      <c r="K3663" s="3"/>
      <c r="L3663" s="5"/>
    </row>
    <row r="3664" spans="1:12" ht="28.8" x14ac:dyDescent="0.55000000000000004">
      <c r="A3664" s="9" t="str">
        <f>HYPERLINK("PDF\FOIA-FWS-2020-00724-0003663.pdf","FOIA-FWS-2020-00724-0003663")</f>
        <v>FOIA-FWS-2020-00724-0003663</v>
      </c>
      <c r="B3664" s="3" t="s">
        <v>5796</v>
      </c>
      <c r="C3664" s="3" t="s">
        <v>234</v>
      </c>
      <c r="D3664" s="3" t="s">
        <v>33</v>
      </c>
      <c r="E3664" s="3" t="s">
        <v>5798</v>
      </c>
      <c r="F3664" s="4">
        <v>43866.577777777777</v>
      </c>
      <c r="G3664" s="3"/>
      <c r="H3664" s="3"/>
      <c r="I3664" s="3" t="s">
        <v>7043</v>
      </c>
      <c r="J3664" s="3"/>
      <c r="K3664" s="3"/>
      <c r="L3664" s="5"/>
    </row>
    <row r="3665" spans="1:12" ht="43.2" x14ac:dyDescent="0.55000000000000004">
      <c r="A3665" s="9" t="str">
        <f>HYPERLINK("PDF\FOIA-FWS-2020-00724-0003664.pdf","FOIA-FWS-2020-00724-0003664")</f>
        <v>FOIA-FWS-2020-00724-0003664</v>
      </c>
      <c r="B3665" s="3" t="s">
        <v>5799</v>
      </c>
      <c r="C3665" s="3" t="s">
        <v>3</v>
      </c>
      <c r="D3665" s="3" t="s">
        <v>33</v>
      </c>
      <c r="E3665" s="3" t="s">
        <v>5802</v>
      </c>
      <c r="F3665" s="4">
        <v>43866.647916666669</v>
      </c>
      <c r="G3665" s="3" t="s">
        <v>5800</v>
      </c>
      <c r="H3665" s="3" t="s">
        <v>5801</v>
      </c>
      <c r="I3665" s="3" t="s">
        <v>864</v>
      </c>
      <c r="J3665" s="3" t="s">
        <v>7046</v>
      </c>
      <c r="K3665" s="3" t="s">
        <v>7036</v>
      </c>
      <c r="L3665" s="5"/>
    </row>
    <row r="3666" spans="1:12" ht="28.8" x14ac:dyDescent="0.55000000000000004">
      <c r="A3666" s="9" t="str">
        <f>HYPERLINK("PDF\FOIA-FWS-2020-00724-0003665.pdf","FOIA-FWS-2020-00724-0003665")</f>
        <v>FOIA-FWS-2020-00724-0003665</v>
      </c>
      <c r="B3666" s="3" t="s">
        <v>5803</v>
      </c>
      <c r="C3666" s="3" t="s">
        <v>3</v>
      </c>
      <c r="D3666" s="3" t="s">
        <v>33</v>
      </c>
      <c r="E3666" s="3" t="s">
        <v>5804</v>
      </c>
      <c r="F3666" s="4">
        <v>43866.709027777775</v>
      </c>
      <c r="G3666" s="3" t="s">
        <v>5800</v>
      </c>
      <c r="H3666" s="3" t="s">
        <v>852</v>
      </c>
      <c r="I3666" s="3" t="s">
        <v>7043</v>
      </c>
      <c r="J3666" s="3"/>
      <c r="K3666" s="3"/>
      <c r="L3666" s="5"/>
    </row>
    <row r="3667" spans="1:12" ht="28.8" x14ac:dyDescent="0.55000000000000004">
      <c r="A3667" s="9" t="str">
        <f>HYPERLINK("PDF\FOIA-FWS-2020-00724-0003666.pdf","FOIA-FWS-2020-00724-0003666")</f>
        <v>FOIA-FWS-2020-00724-0003666</v>
      </c>
      <c r="B3667" s="3" t="s">
        <v>5805</v>
      </c>
      <c r="C3667" s="3" t="s">
        <v>3</v>
      </c>
      <c r="D3667" s="3" t="s">
        <v>33</v>
      </c>
      <c r="E3667" s="3" t="s">
        <v>5807</v>
      </c>
      <c r="F3667" s="4">
        <v>43866.720138888886</v>
      </c>
      <c r="G3667" s="3" t="s">
        <v>872</v>
      </c>
      <c r="H3667" s="3" t="s">
        <v>5806</v>
      </c>
      <c r="I3667" s="3" t="s">
        <v>7043</v>
      </c>
      <c r="J3667" s="3"/>
      <c r="K3667" s="3"/>
      <c r="L3667" s="5"/>
    </row>
    <row r="3668" spans="1:12" ht="43.2" x14ac:dyDescent="0.55000000000000004">
      <c r="A3668" t="s">
        <v>7029</v>
      </c>
      <c r="B3668" s="3" t="s">
        <v>5805</v>
      </c>
      <c r="C3668" s="3" t="s">
        <v>234</v>
      </c>
      <c r="D3668" s="3" t="s">
        <v>33</v>
      </c>
      <c r="E3668" s="3" t="s">
        <v>5808</v>
      </c>
      <c r="F3668" s="4">
        <v>43866.720138888886</v>
      </c>
      <c r="G3668" s="3"/>
      <c r="H3668" s="3"/>
      <c r="I3668" s="3" t="s">
        <v>7044</v>
      </c>
      <c r="J3668" s="3" t="s">
        <v>7046</v>
      </c>
      <c r="K3668" s="3" t="s">
        <v>7058</v>
      </c>
      <c r="L3668" s="5"/>
    </row>
    <row r="3669" spans="1:12" ht="28.8" x14ac:dyDescent="0.55000000000000004">
      <c r="A3669" s="9" t="str">
        <f>HYPERLINK("PDF\FOIA-FWS-2020-00724-0003668.pdf","FOIA-FWS-2020-00724-0003668")</f>
        <v>FOIA-FWS-2020-00724-0003668</v>
      </c>
      <c r="B3669" s="3" t="s">
        <v>5809</v>
      </c>
      <c r="C3669" s="3" t="s">
        <v>3</v>
      </c>
      <c r="D3669" s="3" t="s">
        <v>33</v>
      </c>
      <c r="E3669" s="3" t="s">
        <v>5810</v>
      </c>
      <c r="F3669" s="4">
        <v>43866.807638888888</v>
      </c>
      <c r="G3669" s="3" t="s">
        <v>5800</v>
      </c>
      <c r="H3669" s="3" t="s">
        <v>945</v>
      </c>
      <c r="I3669" s="3" t="s">
        <v>7043</v>
      </c>
      <c r="J3669" s="3"/>
      <c r="K3669" s="3"/>
      <c r="L3669" s="5"/>
    </row>
    <row r="3670" spans="1:12" ht="28.8" x14ac:dyDescent="0.55000000000000004">
      <c r="A3670" s="9" t="str">
        <f>HYPERLINK("PDF\FOIA-FWS-2020-00724-0003669.pdf","FOIA-FWS-2020-00724-0003669")</f>
        <v>FOIA-FWS-2020-00724-0003669</v>
      </c>
      <c r="B3670" s="3" t="s">
        <v>5809</v>
      </c>
      <c r="C3670" s="3" t="s">
        <v>234</v>
      </c>
      <c r="D3670" s="3" t="s">
        <v>33</v>
      </c>
      <c r="E3670" s="3" t="s">
        <v>5811</v>
      </c>
      <c r="F3670" s="4">
        <v>43866.807638888888</v>
      </c>
      <c r="G3670" s="3"/>
      <c r="H3670" s="3"/>
      <c r="I3670" s="3" t="s">
        <v>7043</v>
      </c>
      <c r="J3670" s="3"/>
      <c r="K3670" s="3"/>
      <c r="L3670" s="5"/>
    </row>
    <row r="3671" spans="1:12" ht="28.8" x14ac:dyDescent="0.55000000000000004">
      <c r="A3671" s="9" t="str">
        <f>HYPERLINK("PDF\FOIA-FWS-2020-00724-0003670.pdf","FOIA-FWS-2020-00724-0003670")</f>
        <v>FOIA-FWS-2020-00724-0003670</v>
      </c>
      <c r="B3671" s="3" t="s">
        <v>5812</v>
      </c>
      <c r="C3671" s="3" t="s">
        <v>3</v>
      </c>
      <c r="D3671" s="3" t="s">
        <v>4</v>
      </c>
      <c r="E3671" s="3" t="s">
        <v>5813</v>
      </c>
      <c r="F3671" s="4">
        <v>43867.572916666664</v>
      </c>
      <c r="G3671" s="3" t="s">
        <v>2022</v>
      </c>
      <c r="H3671" s="3" t="s">
        <v>1963</v>
      </c>
      <c r="I3671" s="3" t="s">
        <v>7043</v>
      </c>
      <c r="J3671" s="3"/>
      <c r="K3671" s="3"/>
      <c r="L3671" s="5"/>
    </row>
    <row r="3672" spans="1:12" ht="28.8" x14ac:dyDescent="0.55000000000000004">
      <c r="A3672" s="9" t="str">
        <f>HYPERLINK("PDF\FOIA-FWS-2020-00724-0003671.pdf","FOIA-FWS-2020-00724-0003671")</f>
        <v>FOIA-FWS-2020-00724-0003671</v>
      </c>
      <c r="B3672" s="3" t="s">
        <v>5812</v>
      </c>
      <c r="C3672" s="3" t="s">
        <v>234</v>
      </c>
      <c r="D3672" s="3" t="s">
        <v>4</v>
      </c>
      <c r="E3672" s="3" t="s">
        <v>5814</v>
      </c>
      <c r="F3672" s="4">
        <v>43867.572916666664</v>
      </c>
      <c r="G3672" s="3"/>
      <c r="H3672" s="3"/>
      <c r="I3672" s="3" t="s">
        <v>7043</v>
      </c>
      <c r="J3672" s="3"/>
      <c r="K3672" s="3"/>
      <c r="L3672" s="5"/>
    </row>
    <row r="3673" spans="1:12" ht="28.8" x14ac:dyDescent="0.55000000000000004">
      <c r="A3673" s="9" t="str">
        <f>HYPERLINK("PDF\FOIA-FWS-2020-00724-0003672.pdf","FOIA-FWS-2020-00724-0003672")</f>
        <v>FOIA-FWS-2020-00724-0003672</v>
      </c>
      <c r="B3673" s="3" t="s">
        <v>5812</v>
      </c>
      <c r="C3673" s="3" t="s">
        <v>234</v>
      </c>
      <c r="D3673" s="3" t="s">
        <v>4</v>
      </c>
      <c r="E3673" s="3" t="s">
        <v>5815</v>
      </c>
      <c r="F3673" s="4">
        <v>43867.572916666664</v>
      </c>
      <c r="G3673" s="3"/>
      <c r="H3673" s="3"/>
      <c r="I3673" s="3" t="s">
        <v>7043</v>
      </c>
      <c r="J3673" s="3"/>
      <c r="K3673" s="3"/>
      <c r="L3673" s="5"/>
    </row>
    <row r="3674" spans="1:12" ht="28.8" x14ac:dyDescent="0.55000000000000004">
      <c r="A3674" s="9" t="str">
        <f>HYPERLINK("PDF\FOIA-FWS-2020-00724-0003673.pdf","FOIA-FWS-2020-00724-0003673")</f>
        <v>FOIA-FWS-2020-00724-0003673</v>
      </c>
      <c r="B3674" s="3" t="s">
        <v>5812</v>
      </c>
      <c r="C3674" s="3" t="s">
        <v>234</v>
      </c>
      <c r="D3674" s="3" t="s">
        <v>4</v>
      </c>
      <c r="E3674" s="3" t="s">
        <v>5816</v>
      </c>
      <c r="F3674" s="4">
        <v>43867.572916666664</v>
      </c>
      <c r="G3674" s="3"/>
      <c r="H3674" s="3"/>
      <c r="I3674" s="3" t="s">
        <v>7043</v>
      </c>
      <c r="J3674" s="3"/>
      <c r="K3674" s="3"/>
      <c r="L3674" s="5"/>
    </row>
    <row r="3675" spans="1:12" ht="28.8" x14ac:dyDescent="0.55000000000000004">
      <c r="A3675" s="9" t="str">
        <f>HYPERLINK("PDF\FOIA-FWS-2020-00724-0003674.pdf","FOIA-FWS-2020-00724-0003674")</f>
        <v>FOIA-FWS-2020-00724-0003674</v>
      </c>
      <c r="B3675" s="3" t="s">
        <v>5812</v>
      </c>
      <c r="C3675" s="3" t="s">
        <v>234</v>
      </c>
      <c r="D3675" s="3" t="s">
        <v>4</v>
      </c>
      <c r="E3675" s="3" t="s">
        <v>5817</v>
      </c>
      <c r="F3675" s="4">
        <v>43867.572916666664</v>
      </c>
      <c r="G3675" s="3"/>
      <c r="H3675" s="3"/>
      <c r="I3675" s="3" t="s">
        <v>7043</v>
      </c>
      <c r="J3675" s="3"/>
      <c r="K3675" s="3"/>
      <c r="L3675" s="5"/>
    </row>
    <row r="3676" spans="1:12" ht="28.8" x14ac:dyDescent="0.55000000000000004">
      <c r="A3676" s="9" t="str">
        <f>HYPERLINK("PDF\FOIA-FWS-2020-00724-0003675.pdf","FOIA-FWS-2020-00724-0003675")</f>
        <v>FOIA-FWS-2020-00724-0003675</v>
      </c>
      <c r="B3676" s="3" t="s">
        <v>5812</v>
      </c>
      <c r="C3676" s="3" t="s">
        <v>234</v>
      </c>
      <c r="D3676" s="3" t="s">
        <v>4</v>
      </c>
      <c r="E3676" s="3" t="s">
        <v>5818</v>
      </c>
      <c r="F3676" s="4">
        <v>43867.572916666664</v>
      </c>
      <c r="G3676" s="3"/>
      <c r="H3676" s="3"/>
      <c r="I3676" s="3" t="s">
        <v>7043</v>
      </c>
      <c r="J3676" s="3"/>
      <c r="K3676" s="3"/>
      <c r="L3676" s="5"/>
    </row>
    <row r="3677" spans="1:12" ht="28.8" x14ac:dyDescent="0.55000000000000004">
      <c r="A3677" s="9" t="str">
        <f>HYPERLINK("PDF\FOIA-FWS-2020-00724-0003676.pdf","FOIA-FWS-2020-00724-0003676")</f>
        <v>FOIA-FWS-2020-00724-0003676</v>
      </c>
      <c r="B3677" s="3" t="s">
        <v>5819</v>
      </c>
      <c r="C3677" s="3" t="s">
        <v>3</v>
      </c>
      <c r="D3677" s="3" t="s">
        <v>4</v>
      </c>
      <c r="E3677" s="3" t="s">
        <v>5820</v>
      </c>
      <c r="F3677" s="4">
        <v>43867.642361111109</v>
      </c>
      <c r="G3677" s="3" t="s">
        <v>963</v>
      </c>
      <c r="H3677" s="3" t="s">
        <v>1963</v>
      </c>
      <c r="I3677" s="3" t="s">
        <v>7043</v>
      </c>
      <c r="J3677" s="3"/>
      <c r="K3677" s="3"/>
      <c r="L3677" s="5"/>
    </row>
    <row r="3678" spans="1:12" ht="28.8" x14ac:dyDescent="0.55000000000000004">
      <c r="A3678" s="9" t="str">
        <f>HYPERLINK("PDF\FOIA-FWS-2020-00724-0003677.pdf","FOIA-FWS-2020-00724-0003677")</f>
        <v>FOIA-FWS-2020-00724-0003677</v>
      </c>
      <c r="B3678" s="3" t="s">
        <v>5819</v>
      </c>
      <c r="C3678" s="3" t="s">
        <v>234</v>
      </c>
      <c r="D3678" s="3" t="s">
        <v>4</v>
      </c>
      <c r="E3678" s="3" t="s">
        <v>5821</v>
      </c>
      <c r="F3678" s="4">
        <v>43867.642361111109</v>
      </c>
      <c r="G3678" s="3"/>
      <c r="H3678" s="3"/>
      <c r="I3678" s="3" t="s">
        <v>7043</v>
      </c>
      <c r="J3678" s="3"/>
      <c r="K3678" s="3"/>
      <c r="L3678" s="5"/>
    </row>
    <row r="3679" spans="1:12" ht="43.2" x14ac:dyDescent="0.55000000000000004">
      <c r="A3679" s="9" t="str">
        <f>HYPERLINK("PDF\FOIA-FWS-2020-00724-0003678.pdf","FOIA-FWS-2020-00724-0003678")</f>
        <v>FOIA-FWS-2020-00724-0003678</v>
      </c>
      <c r="B3679" s="3" t="s">
        <v>5819</v>
      </c>
      <c r="C3679" s="3" t="s">
        <v>234</v>
      </c>
      <c r="D3679" s="3" t="s">
        <v>4</v>
      </c>
      <c r="E3679" s="3" t="s">
        <v>5822</v>
      </c>
      <c r="F3679" s="4">
        <v>43867.642361111109</v>
      </c>
      <c r="G3679" s="3"/>
      <c r="H3679" s="3"/>
      <c r="I3679" s="3" t="s">
        <v>7043</v>
      </c>
      <c r="J3679" s="3"/>
      <c r="K3679" s="3"/>
      <c r="L3679" s="5"/>
    </row>
    <row r="3680" spans="1:12" ht="28.8" x14ac:dyDescent="0.55000000000000004">
      <c r="A3680" s="9" t="str">
        <f>HYPERLINK("PDF\FOIA-FWS-2020-00724-0003679.pdf","FOIA-FWS-2020-00724-0003679")</f>
        <v>FOIA-FWS-2020-00724-0003679</v>
      </c>
      <c r="B3680" s="3" t="s">
        <v>5819</v>
      </c>
      <c r="C3680" s="3" t="s">
        <v>234</v>
      </c>
      <c r="D3680" s="3" t="s">
        <v>4</v>
      </c>
      <c r="E3680" s="3" t="s">
        <v>5823</v>
      </c>
      <c r="F3680" s="4">
        <v>43867.642361111109</v>
      </c>
      <c r="G3680" s="3"/>
      <c r="H3680" s="3"/>
      <c r="I3680" s="3" t="s">
        <v>7043</v>
      </c>
      <c r="J3680" s="3"/>
      <c r="K3680" s="3"/>
      <c r="L3680" s="5"/>
    </row>
    <row r="3681" spans="1:12" ht="28.8" x14ac:dyDescent="0.55000000000000004">
      <c r="A3681" s="9" t="str">
        <f>HYPERLINK("PDF\FOIA-FWS-2020-00724-0003680.pdf","FOIA-FWS-2020-00724-0003680")</f>
        <v>FOIA-FWS-2020-00724-0003680</v>
      </c>
      <c r="B3681" s="3" t="s">
        <v>5819</v>
      </c>
      <c r="C3681" s="3" t="s">
        <v>234</v>
      </c>
      <c r="D3681" s="3" t="s">
        <v>4</v>
      </c>
      <c r="E3681" s="3" t="s">
        <v>5824</v>
      </c>
      <c r="F3681" s="4">
        <v>43867.642361111109</v>
      </c>
      <c r="G3681" s="3"/>
      <c r="H3681" s="3"/>
      <c r="I3681" s="3" t="s">
        <v>7043</v>
      </c>
      <c r="J3681" s="3"/>
      <c r="K3681" s="3"/>
      <c r="L3681" s="5"/>
    </row>
    <row r="3682" spans="1:12" ht="28.8" x14ac:dyDescent="0.55000000000000004">
      <c r="A3682" s="9" t="str">
        <f>HYPERLINK("PDF\FOIA-FWS-2020-00724-0003681.pdf","FOIA-FWS-2020-00724-0003681")</f>
        <v>FOIA-FWS-2020-00724-0003681</v>
      </c>
      <c r="B3682" s="3" t="s">
        <v>5819</v>
      </c>
      <c r="C3682" s="3" t="s">
        <v>234</v>
      </c>
      <c r="D3682" s="3" t="s">
        <v>4</v>
      </c>
      <c r="E3682" s="3" t="s">
        <v>5825</v>
      </c>
      <c r="F3682" s="4">
        <v>43867.642361111109</v>
      </c>
      <c r="G3682" s="3"/>
      <c r="H3682" s="3"/>
      <c r="I3682" s="3" t="s">
        <v>7043</v>
      </c>
      <c r="J3682" s="3"/>
      <c r="K3682" s="3"/>
      <c r="L3682" s="5"/>
    </row>
    <row r="3683" spans="1:12" ht="28.8" x14ac:dyDescent="0.55000000000000004">
      <c r="A3683" s="9" t="str">
        <f>HYPERLINK("PDF\FOIA-FWS-2020-00724-0003682.pdf","FOIA-FWS-2020-00724-0003682")</f>
        <v>FOIA-FWS-2020-00724-0003682</v>
      </c>
      <c r="B3683" s="3" t="s">
        <v>5819</v>
      </c>
      <c r="C3683" s="3" t="s">
        <v>234</v>
      </c>
      <c r="D3683" s="3" t="s">
        <v>4</v>
      </c>
      <c r="E3683" s="3" t="s">
        <v>5826</v>
      </c>
      <c r="F3683" s="4">
        <v>43867.642361111109</v>
      </c>
      <c r="G3683" s="3"/>
      <c r="H3683" s="3"/>
      <c r="I3683" s="3" t="s">
        <v>7043</v>
      </c>
      <c r="J3683" s="3"/>
      <c r="K3683" s="3"/>
      <c r="L3683" s="5"/>
    </row>
    <row r="3684" spans="1:12" ht="28.8" x14ac:dyDescent="0.55000000000000004">
      <c r="A3684" s="9" t="str">
        <f>HYPERLINK("PDF\FOIA-FWS-2020-00724-0003683.pdf","FOIA-FWS-2020-00724-0003683")</f>
        <v>FOIA-FWS-2020-00724-0003683</v>
      </c>
      <c r="B3684" s="3" t="s">
        <v>5819</v>
      </c>
      <c r="C3684" s="3" t="s">
        <v>234</v>
      </c>
      <c r="D3684" s="3" t="s">
        <v>4</v>
      </c>
      <c r="E3684" s="3" t="s">
        <v>5827</v>
      </c>
      <c r="F3684" s="4">
        <v>43867.642361111109</v>
      </c>
      <c r="G3684" s="3"/>
      <c r="H3684" s="3"/>
      <c r="I3684" s="3" t="s">
        <v>7043</v>
      </c>
      <c r="J3684" s="3"/>
      <c r="K3684" s="3"/>
      <c r="L3684" s="5"/>
    </row>
    <row r="3685" spans="1:12" ht="43.2" x14ac:dyDescent="0.55000000000000004">
      <c r="A3685" s="9" t="str">
        <f>HYPERLINK("PDF\FOIA-FWS-2020-00724-0003684.pdf","FOIA-FWS-2020-00724-0003684")</f>
        <v>FOIA-FWS-2020-00724-0003684</v>
      </c>
      <c r="B3685" s="3" t="s">
        <v>5819</v>
      </c>
      <c r="C3685" s="3" t="s">
        <v>234</v>
      </c>
      <c r="D3685" s="3" t="s">
        <v>38</v>
      </c>
      <c r="E3685" s="3" t="s">
        <v>5828</v>
      </c>
      <c r="F3685" s="4">
        <v>43867.642361111109</v>
      </c>
      <c r="G3685" s="3"/>
      <c r="H3685" s="3"/>
      <c r="I3685" s="3" t="s">
        <v>7043</v>
      </c>
      <c r="J3685" s="3"/>
      <c r="K3685" s="3"/>
      <c r="L3685" s="5"/>
    </row>
    <row r="3686" spans="1:12" ht="28.8" x14ac:dyDescent="0.55000000000000004">
      <c r="A3686" s="9" t="str">
        <f>HYPERLINK("PDF\FOIA-FWS-2020-00724-0003685.pdf","FOIA-FWS-2020-00724-0003685")</f>
        <v>FOIA-FWS-2020-00724-0003685</v>
      </c>
      <c r="B3686" s="3" t="s">
        <v>5819</v>
      </c>
      <c r="C3686" s="3" t="s">
        <v>234</v>
      </c>
      <c r="D3686" s="3" t="s">
        <v>4</v>
      </c>
      <c r="E3686" s="3" t="s">
        <v>5829</v>
      </c>
      <c r="F3686" s="4">
        <v>43867.642361111109</v>
      </c>
      <c r="G3686" s="3"/>
      <c r="H3686" s="3"/>
      <c r="I3686" s="3" t="s">
        <v>7043</v>
      </c>
      <c r="J3686" s="3"/>
      <c r="K3686" s="3"/>
      <c r="L3686" s="5"/>
    </row>
    <row r="3687" spans="1:12" ht="28.8" x14ac:dyDescent="0.55000000000000004">
      <c r="A3687" s="9" t="str">
        <f>HYPERLINK("PDF\FOIA-FWS-2020-00724-0003686.pdf","FOIA-FWS-2020-00724-0003686")</f>
        <v>FOIA-FWS-2020-00724-0003686</v>
      </c>
      <c r="B3687" s="3" t="s">
        <v>5819</v>
      </c>
      <c r="C3687" s="3" t="s">
        <v>234</v>
      </c>
      <c r="D3687" s="3" t="s">
        <v>4</v>
      </c>
      <c r="E3687" s="3" t="s">
        <v>5830</v>
      </c>
      <c r="F3687" s="4">
        <v>43867.642361111109</v>
      </c>
      <c r="G3687" s="3"/>
      <c r="H3687" s="3"/>
      <c r="I3687" s="3" t="s">
        <v>7043</v>
      </c>
      <c r="J3687" s="3"/>
      <c r="K3687" s="3"/>
      <c r="L3687" s="5"/>
    </row>
    <row r="3688" spans="1:12" ht="72" x14ac:dyDescent="0.55000000000000004">
      <c r="A3688" s="9" t="str">
        <f>HYPERLINK("PDF\FOIA-FWS-2020-00724-0003687.pdf","FOIA-FWS-2020-00724-0003687")</f>
        <v>FOIA-FWS-2020-00724-0003687</v>
      </c>
      <c r="B3688" s="3" t="s">
        <v>5831</v>
      </c>
      <c r="C3688" s="3" t="s">
        <v>3</v>
      </c>
      <c r="D3688" s="3" t="s">
        <v>33</v>
      </c>
      <c r="E3688" s="3" t="s">
        <v>5833</v>
      </c>
      <c r="F3688" s="4">
        <v>43867.675694444442</v>
      </c>
      <c r="G3688" s="3" t="s">
        <v>872</v>
      </c>
      <c r="H3688" s="3" t="s">
        <v>5832</v>
      </c>
      <c r="I3688" s="3" t="s">
        <v>7043</v>
      </c>
      <c r="J3688" s="3"/>
      <c r="K3688" s="3"/>
      <c r="L3688" s="5"/>
    </row>
    <row r="3689" spans="1:12" ht="28.8" x14ac:dyDescent="0.55000000000000004">
      <c r="A3689" s="9" t="str">
        <f>HYPERLINK("PDF\FOIA-FWS-2020-00724-0003688.pdf","FOIA-FWS-2020-00724-0003688")</f>
        <v>FOIA-FWS-2020-00724-0003688</v>
      </c>
      <c r="B3689" s="3" t="s">
        <v>5831</v>
      </c>
      <c r="C3689" s="3" t="s">
        <v>234</v>
      </c>
      <c r="D3689" s="3" t="s">
        <v>4</v>
      </c>
      <c r="E3689" s="3" t="s">
        <v>5834</v>
      </c>
      <c r="F3689" s="4">
        <v>43867.675694444442</v>
      </c>
      <c r="G3689" s="3"/>
      <c r="H3689" s="3"/>
      <c r="I3689" s="3" t="s">
        <v>7043</v>
      </c>
      <c r="J3689" s="3"/>
      <c r="K3689" s="3"/>
      <c r="L3689" s="5"/>
    </row>
    <row r="3690" spans="1:12" ht="28.8" x14ac:dyDescent="0.55000000000000004">
      <c r="A3690" s="9" t="str">
        <f>HYPERLINK("PDF\FOIA-FWS-2020-00724-0003689.pdf","FOIA-FWS-2020-00724-0003689")</f>
        <v>FOIA-FWS-2020-00724-0003689</v>
      </c>
      <c r="B3690" s="3" t="s">
        <v>5831</v>
      </c>
      <c r="C3690" s="3" t="s">
        <v>234</v>
      </c>
      <c r="D3690" s="3" t="s">
        <v>4</v>
      </c>
      <c r="E3690" s="3" t="s">
        <v>5835</v>
      </c>
      <c r="F3690" s="4">
        <v>43867.675694444442</v>
      </c>
      <c r="G3690" s="3"/>
      <c r="H3690" s="3"/>
      <c r="I3690" s="3" t="s">
        <v>7043</v>
      </c>
      <c r="J3690" s="3"/>
      <c r="K3690" s="3"/>
      <c r="L3690" s="5"/>
    </row>
    <row r="3691" spans="1:12" ht="28.8" x14ac:dyDescent="0.55000000000000004">
      <c r="A3691" s="9" t="str">
        <f>HYPERLINK("PDF\FOIA-FWS-2020-00724-0003690.pdf","FOIA-FWS-2020-00724-0003690")</f>
        <v>FOIA-FWS-2020-00724-0003690</v>
      </c>
      <c r="B3691" s="3" t="s">
        <v>5831</v>
      </c>
      <c r="C3691" s="3" t="s">
        <v>234</v>
      </c>
      <c r="D3691" s="3" t="s">
        <v>4</v>
      </c>
      <c r="E3691" s="3" t="s">
        <v>5836</v>
      </c>
      <c r="F3691" s="4">
        <v>43867.675694444442</v>
      </c>
      <c r="G3691" s="3"/>
      <c r="H3691" s="3"/>
      <c r="I3691" s="3" t="s">
        <v>7043</v>
      </c>
      <c r="J3691" s="3"/>
      <c r="K3691" s="3"/>
      <c r="L3691" s="5"/>
    </row>
    <row r="3692" spans="1:12" ht="28.8" x14ac:dyDescent="0.55000000000000004">
      <c r="A3692" s="9" t="str">
        <f>HYPERLINK("PDF\FOIA-FWS-2020-00724-0003691.pdf","FOIA-FWS-2020-00724-0003691")</f>
        <v>FOIA-FWS-2020-00724-0003691</v>
      </c>
      <c r="B3692" s="3" t="s">
        <v>5831</v>
      </c>
      <c r="C3692" s="3" t="s">
        <v>234</v>
      </c>
      <c r="D3692" s="3" t="s">
        <v>4</v>
      </c>
      <c r="E3692" s="3" t="s">
        <v>5837</v>
      </c>
      <c r="F3692" s="4">
        <v>43867.675694444442</v>
      </c>
      <c r="G3692" s="3"/>
      <c r="H3692" s="3"/>
      <c r="I3692" s="3" t="s">
        <v>7043</v>
      </c>
      <c r="J3692" s="3"/>
      <c r="K3692" s="3"/>
      <c r="L3692" s="5"/>
    </row>
    <row r="3693" spans="1:12" ht="28.8" x14ac:dyDescent="0.55000000000000004">
      <c r="A3693" s="9" t="str">
        <f>HYPERLINK("PDF\FOIA-FWS-2020-00724-0003692.pdf","FOIA-FWS-2020-00724-0003692")</f>
        <v>FOIA-FWS-2020-00724-0003692</v>
      </c>
      <c r="B3693" s="3" t="s">
        <v>5831</v>
      </c>
      <c r="C3693" s="3" t="s">
        <v>234</v>
      </c>
      <c r="D3693" s="3" t="s">
        <v>4</v>
      </c>
      <c r="E3693" s="3" t="s">
        <v>5838</v>
      </c>
      <c r="F3693" s="4">
        <v>43867.675694444442</v>
      </c>
      <c r="G3693" s="3"/>
      <c r="H3693" s="3"/>
      <c r="I3693" s="3" t="s">
        <v>7043</v>
      </c>
      <c r="J3693" s="3"/>
      <c r="K3693" s="3"/>
      <c r="L3693" s="5"/>
    </row>
    <row r="3694" spans="1:12" ht="28.8" x14ac:dyDescent="0.55000000000000004">
      <c r="A3694" s="9" t="str">
        <f>HYPERLINK("PDF\FOIA-FWS-2020-00724-0003693.pdf","FOIA-FWS-2020-00724-0003693")</f>
        <v>FOIA-FWS-2020-00724-0003693</v>
      </c>
      <c r="B3694" s="3" t="s">
        <v>5831</v>
      </c>
      <c r="C3694" s="3" t="s">
        <v>234</v>
      </c>
      <c r="D3694" s="3" t="s">
        <v>4</v>
      </c>
      <c r="E3694" s="3" t="s">
        <v>5839</v>
      </c>
      <c r="F3694" s="4">
        <v>43867.675694444442</v>
      </c>
      <c r="G3694" s="3"/>
      <c r="H3694" s="3"/>
      <c r="I3694" s="3" t="s">
        <v>7043</v>
      </c>
      <c r="J3694" s="3"/>
      <c r="K3694" s="3"/>
      <c r="L3694" s="5"/>
    </row>
    <row r="3695" spans="1:12" ht="28.8" x14ac:dyDescent="0.55000000000000004">
      <c r="A3695" s="9" t="str">
        <f>HYPERLINK("PDF\FOIA-FWS-2020-00724-0003694.pdf","FOIA-FWS-2020-00724-0003694")</f>
        <v>FOIA-FWS-2020-00724-0003694</v>
      </c>
      <c r="B3695" s="3" t="s">
        <v>5831</v>
      </c>
      <c r="C3695" s="3" t="s">
        <v>234</v>
      </c>
      <c r="D3695" s="3" t="s">
        <v>4</v>
      </c>
      <c r="E3695" s="3" t="s">
        <v>5840</v>
      </c>
      <c r="F3695" s="4">
        <v>43867.675694444442</v>
      </c>
      <c r="G3695" s="3"/>
      <c r="H3695" s="3"/>
      <c r="I3695" s="3" t="s">
        <v>7043</v>
      </c>
      <c r="J3695" s="3"/>
      <c r="K3695" s="3"/>
      <c r="L3695" s="5"/>
    </row>
    <row r="3696" spans="1:12" ht="28.8" x14ac:dyDescent="0.55000000000000004">
      <c r="A3696" s="9" t="str">
        <f>HYPERLINK("PDF\FOIA-FWS-2020-00724-0003695.pdf","FOIA-FWS-2020-00724-0003695")</f>
        <v>FOIA-FWS-2020-00724-0003695</v>
      </c>
      <c r="B3696" s="3" t="s">
        <v>5831</v>
      </c>
      <c r="C3696" s="3" t="s">
        <v>234</v>
      </c>
      <c r="D3696" s="3" t="s">
        <v>4</v>
      </c>
      <c r="E3696" s="3" t="s">
        <v>5841</v>
      </c>
      <c r="F3696" s="4">
        <v>43867.675694444442</v>
      </c>
      <c r="G3696" s="3"/>
      <c r="H3696" s="3"/>
      <c r="I3696" s="3" t="s">
        <v>7043</v>
      </c>
      <c r="J3696" s="3"/>
      <c r="K3696" s="3"/>
      <c r="L3696" s="5"/>
    </row>
    <row r="3697" spans="1:12" ht="28.8" x14ac:dyDescent="0.55000000000000004">
      <c r="A3697" s="9" t="str">
        <f>HYPERLINK("PDF\FOIA-FWS-2020-00724-0003696.pdf","FOIA-FWS-2020-00724-0003696")</f>
        <v>FOIA-FWS-2020-00724-0003696</v>
      </c>
      <c r="B3697" s="3" t="s">
        <v>5831</v>
      </c>
      <c r="C3697" s="3" t="s">
        <v>234</v>
      </c>
      <c r="D3697" s="3" t="s">
        <v>4</v>
      </c>
      <c r="E3697" s="3" t="s">
        <v>4504</v>
      </c>
      <c r="F3697" s="4">
        <v>43867.675694444442</v>
      </c>
      <c r="G3697" s="3"/>
      <c r="H3697" s="3"/>
      <c r="I3697" s="3" t="s">
        <v>7043</v>
      </c>
      <c r="J3697" s="3"/>
      <c r="K3697" s="3"/>
      <c r="L3697" s="5"/>
    </row>
    <row r="3698" spans="1:12" ht="86.4" x14ac:dyDescent="0.55000000000000004">
      <c r="A3698" s="9" t="str">
        <f>HYPERLINK("PDF\FOIA-FWS-2020-00724-0003697.pdf","FOIA-FWS-2020-00724-0003697")</f>
        <v>FOIA-FWS-2020-00724-0003697</v>
      </c>
      <c r="B3698" s="3" t="s">
        <v>5842</v>
      </c>
      <c r="C3698" s="3" t="s">
        <v>3</v>
      </c>
      <c r="D3698" s="3" t="s">
        <v>33</v>
      </c>
      <c r="E3698" s="3" t="s">
        <v>5843</v>
      </c>
      <c r="F3698" s="4">
        <v>43867.692361111112</v>
      </c>
      <c r="G3698" s="3" t="s">
        <v>872</v>
      </c>
      <c r="H3698" s="3" t="s">
        <v>5832</v>
      </c>
      <c r="I3698" s="3" t="s">
        <v>7043</v>
      </c>
      <c r="J3698" s="3"/>
      <c r="K3698" s="3"/>
      <c r="L3698" s="5"/>
    </row>
    <row r="3699" spans="1:12" ht="43.2" x14ac:dyDescent="0.55000000000000004">
      <c r="A3699" s="9" t="str">
        <f>HYPERLINK("PDF\FOIA-FWS-2020-00724-0003698.pdf","FOIA-FWS-2020-00724-0003698")</f>
        <v>FOIA-FWS-2020-00724-0003698</v>
      </c>
      <c r="B3699" s="3" t="s">
        <v>5844</v>
      </c>
      <c r="C3699" s="3" t="s">
        <v>3</v>
      </c>
      <c r="D3699" s="3" t="s">
        <v>33</v>
      </c>
      <c r="E3699" s="3" t="s">
        <v>5846</v>
      </c>
      <c r="F3699" s="4">
        <v>43868.620138888888</v>
      </c>
      <c r="G3699" s="3" t="s">
        <v>5800</v>
      </c>
      <c r="H3699" s="3" t="s">
        <v>5845</v>
      </c>
      <c r="I3699" s="3" t="s">
        <v>7043</v>
      </c>
      <c r="J3699" s="3"/>
      <c r="K3699" s="3"/>
      <c r="L3699" s="5"/>
    </row>
    <row r="3700" spans="1:12" ht="28.8" x14ac:dyDescent="0.55000000000000004">
      <c r="A3700" s="9" t="str">
        <f>HYPERLINK("PDF\FOIA-FWS-2020-00724-0003699.pdf","FOIA-FWS-2020-00724-0003699")</f>
        <v>FOIA-FWS-2020-00724-0003699</v>
      </c>
      <c r="B3700" s="3" t="s">
        <v>5844</v>
      </c>
      <c r="C3700" s="3" t="s">
        <v>234</v>
      </c>
      <c r="D3700" s="3" t="s">
        <v>33</v>
      </c>
      <c r="E3700" s="3" t="s">
        <v>5811</v>
      </c>
      <c r="F3700" s="4">
        <v>43868.620138888888</v>
      </c>
      <c r="G3700" s="3"/>
      <c r="H3700" s="3"/>
      <c r="I3700" s="3" t="s">
        <v>7043</v>
      </c>
      <c r="J3700" s="3"/>
      <c r="K3700" s="3"/>
      <c r="L3700" s="5"/>
    </row>
    <row r="3701" spans="1:12" ht="28.8" x14ac:dyDescent="0.55000000000000004">
      <c r="A3701" s="9" t="str">
        <f>HYPERLINK("PDF\FOIA-FWS-2020-00724-0003700.pdf","FOIA-FWS-2020-00724-0003700")</f>
        <v>FOIA-FWS-2020-00724-0003700</v>
      </c>
      <c r="B3701" s="3" t="s">
        <v>5847</v>
      </c>
      <c r="C3701" s="3" t="s">
        <v>3</v>
      </c>
      <c r="D3701" s="3" t="s">
        <v>33</v>
      </c>
      <c r="E3701" s="3" t="s">
        <v>5848</v>
      </c>
      <c r="F3701" s="4">
        <v>43868.6875</v>
      </c>
      <c r="G3701" s="3" t="s">
        <v>1119</v>
      </c>
      <c r="H3701" s="3" t="s">
        <v>861</v>
      </c>
      <c r="I3701" s="3" t="s">
        <v>864</v>
      </c>
      <c r="J3701" s="3" t="s">
        <v>7046</v>
      </c>
      <c r="K3701" s="3" t="s">
        <v>7036</v>
      </c>
      <c r="L3701" s="5"/>
    </row>
    <row r="3702" spans="1:12" ht="28.8" x14ac:dyDescent="0.55000000000000004">
      <c r="A3702" s="9" t="str">
        <f>HYPERLINK("PDF\FOIA-FWS-2020-00724-0003701.pdf","FOIA-FWS-2020-00724-0003701")</f>
        <v>FOIA-FWS-2020-00724-0003701</v>
      </c>
      <c r="B3702" s="3" t="s">
        <v>5849</v>
      </c>
      <c r="C3702" s="3" t="s">
        <v>3</v>
      </c>
      <c r="D3702" s="3" t="s">
        <v>33</v>
      </c>
      <c r="E3702" s="3" t="s">
        <v>5850</v>
      </c>
      <c r="F3702" s="4">
        <v>43868.751388888886</v>
      </c>
      <c r="G3702" s="3" t="s">
        <v>872</v>
      </c>
      <c r="H3702" s="3" t="s">
        <v>1963</v>
      </c>
      <c r="I3702" s="3" t="s">
        <v>7043</v>
      </c>
      <c r="J3702" s="3"/>
      <c r="K3702" s="3"/>
      <c r="L3702" s="5"/>
    </row>
    <row r="3703" spans="1:12" ht="28.8" x14ac:dyDescent="0.55000000000000004">
      <c r="A3703" s="9" t="str">
        <f>HYPERLINK("PDF\FOIA-FWS-2020-00724-0003702.pdf","FOIA-FWS-2020-00724-0003702")</f>
        <v>FOIA-FWS-2020-00724-0003702</v>
      </c>
      <c r="B3703" s="3" t="s">
        <v>5849</v>
      </c>
      <c r="C3703" s="3" t="s">
        <v>234</v>
      </c>
      <c r="D3703" s="3" t="s">
        <v>33</v>
      </c>
      <c r="E3703" s="3" t="s">
        <v>1574</v>
      </c>
      <c r="F3703" s="4">
        <v>43868.751388888886</v>
      </c>
      <c r="G3703" s="3"/>
      <c r="H3703" s="3"/>
      <c r="I3703" s="3" t="s">
        <v>7043</v>
      </c>
      <c r="J3703" s="3"/>
      <c r="K3703" s="3"/>
      <c r="L3703" s="5"/>
    </row>
    <row r="3704" spans="1:12" ht="28.8" x14ac:dyDescent="0.55000000000000004">
      <c r="A3704" s="9" t="str">
        <f>HYPERLINK("PDF\FOIA-FWS-2020-00724-0003703.pdf","FOIA-FWS-2020-00724-0003703")</f>
        <v>FOIA-FWS-2020-00724-0003703</v>
      </c>
      <c r="B3704" s="3" t="s">
        <v>5849</v>
      </c>
      <c r="C3704" s="3" t="s">
        <v>234</v>
      </c>
      <c r="D3704" s="3" t="s">
        <v>33</v>
      </c>
      <c r="E3704" s="3" t="s">
        <v>1575</v>
      </c>
      <c r="F3704" s="4">
        <v>43868.751388888886</v>
      </c>
      <c r="G3704" s="3"/>
      <c r="H3704" s="3"/>
      <c r="I3704" s="3" t="s">
        <v>7043</v>
      </c>
      <c r="J3704" s="3"/>
      <c r="K3704" s="3"/>
      <c r="L3704" s="5"/>
    </row>
    <row r="3705" spans="1:12" ht="28.8" x14ac:dyDescent="0.55000000000000004">
      <c r="A3705" s="9" t="str">
        <f>HYPERLINK("PDF\FOIA-FWS-2020-00724-0003704.pdf","FOIA-FWS-2020-00724-0003704")</f>
        <v>FOIA-FWS-2020-00724-0003704</v>
      </c>
      <c r="B3705" s="3" t="s">
        <v>5849</v>
      </c>
      <c r="C3705" s="3" t="s">
        <v>234</v>
      </c>
      <c r="D3705" s="3" t="s">
        <v>33</v>
      </c>
      <c r="E3705" s="3" t="s">
        <v>1576</v>
      </c>
      <c r="F3705" s="4">
        <v>43868.751388888886</v>
      </c>
      <c r="G3705" s="3"/>
      <c r="H3705" s="3"/>
      <c r="I3705" s="3" t="s">
        <v>7043</v>
      </c>
      <c r="J3705" s="3"/>
      <c r="K3705" s="3"/>
      <c r="L3705" s="5"/>
    </row>
    <row r="3706" spans="1:12" ht="28.8" x14ac:dyDescent="0.55000000000000004">
      <c r="A3706" s="9" t="str">
        <f>HYPERLINK("PDF\FOIA-FWS-2020-00724-0003705.pdf","FOIA-FWS-2020-00724-0003705")</f>
        <v>FOIA-FWS-2020-00724-0003705</v>
      </c>
      <c r="B3706" s="3" t="s">
        <v>5849</v>
      </c>
      <c r="C3706" s="3" t="s">
        <v>234</v>
      </c>
      <c r="D3706" s="3" t="s">
        <v>33</v>
      </c>
      <c r="E3706" s="3" t="s">
        <v>1577</v>
      </c>
      <c r="F3706" s="4">
        <v>43868.751388888886</v>
      </c>
      <c r="G3706" s="3"/>
      <c r="H3706" s="3"/>
      <c r="I3706" s="3" t="s">
        <v>7043</v>
      </c>
      <c r="J3706" s="3"/>
      <c r="K3706" s="3"/>
      <c r="L3706" s="5"/>
    </row>
    <row r="3707" spans="1:12" ht="28.8" x14ac:dyDescent="0.55000000000000004">
      <c r="A3707" s="9" t="str">
        <f>HYPERLINK("PDF\FOIA-FWS-2020-00724-0003706.pdf","FOIA-FWS-2020-00724-0003706")</f>
        <v>FOIA-FWS-2020-00724-0003706</v>
      </c>
      <c r="B3707" s="3" t="s">
        <v>5851</v>
      </c>
      <c r="C3707" s="3" t="s">
        <v>3</v>
      </c>
      <c r="D3707" s="3" t="s">
        <v>33</v>
      </c>
      <c r="E3707" s="3" t="s">
        <v>5852</v>
      </c>
      <c r="F3707" s="4">
        <v>43871</v>
      </c>
      <c r="G3707" s="3"/>
      <c r="H3707" s="3"/>
      <c r="I3707" s="3" t="s">
        <v>7043</v>
      </c>
      <c r="J3707" s="3"/>
      <c r="K3707" s="3"/>
      <c r="L3707" s="5"/>
    </row>
    <row r="3708" spans="1:12" ht="28.8" x14ac:dyDescent="0.55000000000000004">
      <c r="A3708" s="9" t="str">
        <f>HYPERLINK("PDF\FOIA-FWS-2020-00724-0003707.pdf","FOIA-FWS-2020-00724-0003707")</f>
        <v>FOIA-FWS-2020-00724-0003707</v>
      </c>
      <c r="B3708" s="3" t="s">
        <v>5853</v>
      </c>
      <c r="C3708" s="3" t="s">
        <v>3</v>
      </c>
      <c r="D3708" s="3" t="s">
        <v>33</v>
      </c>
      <c r="E3708" s="3" t="s">
        <v>5854</v>
      </c>
      <c r="F3708" s="4">
        <v>43871</v>
      </c>
      <c r="G3708" s="3"/>
      <c r="H3708" s="3"/>
      <c r="I3708" s="3" t="s">
        <v>7043</v>
      </c>
      <c r="J3708" s="3"/>
      <c r="K3708" s="3"/>
      <c r="L3708" s="5"/>
    </row>
    <row r="3709" spans="1:12" ht="28.8" x14ac:dyDescent="0.55000000000000004">
      <c r="A3709" s="9" t="str">
        <f>HYPERLINK("PDF\FOIA-FWS-2020-00724-0003708.pdf","FOIA-FWS-2020-00724-0003708")</f>
        <v>FOIA-FWS-2020-00724-0003708</v>
      </c>
      <c r="B3709" s="3" t="s">
        <v>5855</v>
      </c>
      <c r="C3709" s="3" t="s">
        <v>3</v>
      </c>
      <c r="D3709" s="3" t="s">
        <v>4</v>
      </c>
      <c r="E3709" s="3" t="s">
        <v>5856</v>
      </c>
      <c r="F3709" s="4">
        <v>43871</v>
      </c>
      <c r="G3709" s="3"/>
      <c r="H3709" s="3"/>
      <c r="I3709" s="3" t="s">
        <v>7043</v>
      </c>
      <c r="J3709" s="3"/>
      <c r="K3709" s="3"/>
      <c r="L3709" s="5"/>
    </row>
    <row r="3710" spans="1:12" ht="86.4" x14ac:dyDescent="0.55000000000000004">
      <c r="A3710" s="9" t="str">
        <f>HYPERLINK("PDF\FOIA-FWS-2020-00724-0003709.pdf","FOIA-FWS-2020-00724-0003709")</f>
        <v>FOIA-FWS-2020-00724-0003709</v>
      </c>
      <c r="B3710" s="3" t="s">
        <v>5857</v>
      </c>
      <c r="C3710" s="3" t="s">
        <v>3</v>
      </c>
      <c r="D3710" s="3" t="s">
        <v>33</v>
      </c>
      <c r="E3710" s="3" t="s">
        <v>5858</v>
      </c>
      <c r="F3710" s="4">
        <v>43871.663888888892</v>
      </c>
      <c r="G3710" s="3" t="s">
        <v>2514</v>
      </c>
      <c r="H3710" s="3" t="s">
        <v>1392</v>
      </c>
      <c r="I3710" s="3" t="s">
        <v>7043</v>
      </c>
      <c r="J3710" s="3"/>
      <c r="K3710" s="3"/>
      <c r="L3710" s="5"/>
    </row>
    <row r="3711" spans="1:12" ht="28.8" x14ac:dyDescent="0.55000000000000004">
      <c r="A3711" s="9" t="str">
        <f>HYPERLINK("PDF\FOIA-FWS-2020-00724-0003710.pdf","FOIA-FWS-2020-00724-0003710")</f>
        <v>FOIA-FWS-2020-00724-0003710</v>
      </c>
      <c r="B3711" s="3" t="s">
        <v>5857</v>
      </c>
      <c r="C3711" s="3" t="s">
        <v>234</v>
      </c>
      <c r="D3711" s="3" t="s">
        <v>33</v>
      </c>
      <c r="E3711" s="3" t="s">
        <v>5859</v>
      </c>
      <c r="F3711" s="4">
        <v>43871.663888888892</v>
      </c>
      <c r="G3711" s="3"/>
      <c r="H3711" s="3"/>
      <c r="I3711" s="3" t="s">
        <v>7043</v>
      </c>
      <c r="J3711" s="3"/>
      <c r="K3711" s="3"/>
      <c r="L3711" s="5"/>
    </row>
    <row r="3712" spans="1:12" ht="43.2" x14ac:dyDescent="0.55000000000000004">
      <c r="A3712" s="9" t="str">
        <f>HYPERLINK("PDF\FOIA-FWS-2020-00724-0003711.pdf","FOIA-FWS-2020-00724-0003711")</f>
        <v>FOIA-FWS-2020-00724-0003711</v>
      </c>
      <c r="B3712" s="3" t="s">
        <v>5860</v>
      </c>
      <c r="C3712" s="3" t="s">
        <v>3</v>
      </c>
      <c r="D3712" s="3" t="s">
        <v>33</v>
      </c>
      <c r="E3712" s="3" t="s">
        <v>5861</v>
      </c>
      <c r="F3712" s="4">
        <v>43871.688888888886</v>
      </c>
      <c r="G3712" s="3" t="s">
        <v>1392</v>
      </c>
      <c r="H3712" s="3" t="s">
        <v>963</v>
      </c>
      <c r="I3712" s="3" t="s">
        <v>7043</v>
      </c>
      <c r="J3712" s="3"/>
      <c r="K3712" s="3"/>
      <c r="L3712" s="5"/>
    </row>
    <row r="3713" spans="1:12" ht="28.8" x14ac:dyDescent="0.55000000000000004">
      <c r="A3713" s="9" t="str">
        <f>HYPERLINK("PDF\FOIA-FWS-2020-00724-0003712.pdf","FOIA-FWS-2020-00724-0003712")</f>
        <v>FOIA-FWS-2020-00724-0003712</v>
      </c>
      <c r="B3713" s="3" t="s">
        <v>5860</v>
      </c>
      <c r="C3713" s="3" t="s">
        <v>234</v>
      </c>
      <c r="D3713" s="3" t="s">
        <v>33</v>
      </c>
      <c r="E3713" s="3" t="s">
        <v>5859</v>
      </c>
      <c r="F3713" s="4">
        <v>43871.688888888886</v>
      </c>
      <c r="G3713" s="3"/>
      <c r="H3713" s="3"/>
      <c r="I3713" s="3" t="s">
        <v>7043</v>
      </c>
      <c r="J3713" s="3"/>
      <c r="K3713" s="3"/>
      <c r="L3713" s="5"/>
    </row>
    <row r="3714" spans="1:12" ht="43.2" x14ac:dyDescent="0.55000000000000004">
      <c r="A3714" s="9" t="str">
        <f>HYPERLINK("PDF\FOIA-FWS-2020-00724-0003713.pdf","FOIA-FWS-2020-00724-0003713")</f>
        <v>FOIA-FWS-2020-00724-0003713</v>
      </c>
      <c r="B3714" s="3" t="s">
        <v>5862</v>
      </c>
      <c r="C3714" s="3" t="s">
        <v>3</v>
      </c>
      <c r="D3714" s="3" t="s">
        <v>33</v>
      </c>
      <c r="E3714" s="3" t="s">
        <v>5864</v>
      </c>
      <c r="F3714" s="4">
        <v>43871.7</v>
      </c>
      <c r="G3714" s="3" t="s">
        <v>1392</v>
      </c>
      <c r="H3714" s="3" t="s">
        <v>5863</v>
      </c>
      <c r="I3714" s="3" t="s">
        <v>7043</v>
      </c>
      <c r="J3714" s="3"/>
      <c r="K3714" s="3"/>
      <c r="L3714" s="5"/>
    </row>
    <row r="3715" spans="1:12" ht="43.2" x14ac:dyDescent="0.55000000000000004">
      <c r="A3715" s="9" t="str">
        <f>HYPERLINK("PDF\FOIA-FWS-2020-00724-0003714.pdf","FOIA-FWS-2020-00724-0003714")</f>
        <v>FOIA-FWS-2020-00724-0003714</v>
      </c>
      <c r="B3715" s="3" t="s">
        <v>5865</v>
      </c>
      <c r="C3715" s="3" t="s">
        <v>3</v>
      </c>
      <c r="D3715" s="3" t="s">
        <v>33</v>
      </c>
      <c r="E3715" s="3" t="s">
        <v>5867</v>
      </c>
      <c r="F3715" s="4">
        <v>43871.765277777777</v>
      </c>
      <c r="G3715" s="3" t="s">
        <v>1392</v>
      </c>
      <c r="H3715" s="3" t="s">
        <v>5866</v>
      </c>
      <c r="I3715" s="3" t="s">
        <v>7043</v>
      </c>
      <c r="J3715" s="3"/>
      <c r="K3715" s="3"/>
      <c r="L3715" s="5"/>
    </row>
    <row r="3716" spans="1:12" ht="57.6" x14ac:dyDescent="0.55000000000000004">
      <c r="A3716" s="9" t="str">
        <f>HYPERLINK("PDF\FOIA-FWS-2020-00724-0003715.pdf","FOIA-FWS-2020-00724-0003715")</f>
        <v>FOIA-FWS-2020-00724-0003715</v>
      </c>
      <c r="B3716" s="3" t="s">
        <v>5868</v>
      </c>
      <c r="C3716" s="3" t="s">
        <v>3</v>
      </c>
      <c r="D3716" s="3" t="s">
        <v>33</v>
      </c>
      <c r="E3716" s="3" t="s">
        <v>5870</v>
      </c>
      <c r="F3716" s="4">
        <v>43871.8</v>
      </c>
      <c r="G3716" s="3" t="s">
        <v>5800</v>
      </c>
      <c r="H3716" s="3" t="s">
        <v>5869</v>
      </c>
      <c r="I3716" s="3" t="s">
        <v>7043</v>
      </c>
      <c r="J3716" s="3"/>
      <c r="K3716" s="3"/>
      <c r="L3716" s="5"/>
    </row>
    <row r="3717" spans="1:12" ht="28.8" x14ac:dyDescent="0.55000000000000004">
      <c r="A3717" s="9" t="str">
        <f>HYPERLINK("PDF\FOIA-FWS-2020-00724-0003716.pdf","FOIA-FWS-2020-00724-0003716")</f>
        <v>FOIA-FWS-2020-00724-0003716</v>
      </c>
      <c r="B3717" s="3" t="s">
        <v>5871</v>
      </c>
      <c r="C3717" s="3" t="s">
        <v>3</v>
      </c>
      <c r="D3717" s="3" t="s">
        <v>33</v>
      </c>
      <c r="E3717" s="3" t="s">
        <v>5872</v>
      </c>
      <c r="F3717" s="4">
        <v>43871.859722222223</v>
      </c>
      <c r="G3717" s="3" t="s">
        <v>2022</v>
      </c>
      <c r="H3717" s="3" t="s">
        <v>1963</v>
      </c>
      <c r="I3717" s="3" t="s">
        <v>7043</v>
      </c>
      <c r="J3717" s="3"/>
      <c r="K3717" s="3"/>
      <c r="L3717" s="5"/>
    </row>
    <row r="3718" spans="1:12" ht="57.6" x14ac:dyDescent="0.55000000000000004">
      <c r="A3718" s="9" t="str">
        <f>HYPERLINK("PDF\FOIA-FWS-2020-00724-0003717.pdf","FOIA-FWS-2020-00724-0003717")</f>
        <v>FOIA-FWS-2020-00724-0003717</v>
      </c>
      <c r="B3718" s="3" t="s">
        <v>5873</v>
      </c>
      <c r="C3718" s="3" t="s">
        <v>3</v>
      </c>
      <c r="D3718" s="3" t="s">
        <v>33</v>
      </c>
      <c r="E3718" s="3" t="s">
        <v>5874</v>
      </c>
      <c r="F3718" s="4">
        <v>43872</v>
      </c>
      <c r="G3718" s="3"/>
      <c r="H3718" s="3"/>
      <c r="I3718" s="3" t="s">
        <v>7049</v>
      </c>
      <c r="J3718" s="3" t="s">
        <v>7056</v>
      </c>
      <c r="K3718" s="3" t="s">
        <v>7036</v>
      </c>
      <c r="L3718" s="5"/>
    </row>
    <row r="3719" spans="1:12" ht="43.2" x14ac:dyDescent="0.55000000000000004">
      <c r="A3719" s="9" t="str">
        <f>HYPERLINK("PDF\FOIA-FWS-2020-00724-0003718.pdf","FOIA-FWS-2020-00724-0003718")</f>
        <v>FOIA-FWS-2020-00724-0003718</v>
      </c>
      <c r="B3719" s="3" t="s">
        <v>5875</v>
      </c>
      <c r="C3719" s="3" t="s">
        <v>3</v>
      </c>
      <c r="D3719" s="3" t="s">
        <v>33</v>
      </c>
      <c r="E3719" s="3" t="s">
        <v>5876</v>
      </c>
      <c r="F3719" s="4">
        <v>43872</v>
      </c>
      <c r="G3719" s="3"/>
      <c r="H3719" s="3"/>
      <c r="I3719" s="3" t="s">
        <v>7044</v>
      </c>
      <c r="J3719" s="3" t="s">
        <v>7046</v>
      </c>
      <c r="K3719" s="3" t="s">
        <v>7036</v>
      </c>
      <c r="L3719" s="5"/>
    </row>
    <row r="3720" spans="1:12" ht="28.8" x14ac:dyDescent="0.55000000000000004">
      <c r="A3720" s="9" t="str">
        <f>HYPERLINK("PDF\FOIA-FWS-2020-00724-0003719.pdf","FOIA-FWS-2020-00724-0003719")</f>
        <v>FOIA-FWS-2020-00724-0003719</v>
      </c>
      <c r="B3720" s="3" t="s">
        <v>5877</v>
      </c>
      <c r="C3720" s="3" t="s">
        <v>3</v>
      </c>
      <c r="D3720" s="3" t="s">
        <v>33</v>
      </c>
      <c r="E3720" s="3" t="s">
        <v>5878</v>
      </c>
      <c r="F3720" s="4">
        <v>43872.543749999997</v>
      </c>
      <c r="G3720" s="3" t="s">
        <v>2514</v>
      </c>
      <c r="H3720" s="3" t="s">
        <v>1392</v>
      </c>
      <c r="I3720" s="3" t="s">
        <v>7043</v>
      </c>
      <c r="J3720" s="3"/>
      <c r="K3720" s="3"/>
      <c r="L3720" s="5"/>
    </row>
    <row r="3721" spans="1:12" ht="28.8" x14ac:dyDescent="0.55000000000000004">
      <c r="A3721" s="9" t="str">
        <f>HYPERLINK("PDF\FOIA-FWS-2020-00724-0003720.pdf","FOIA-FWS-2020-00724-0003720")</f>
        <v>FOIA-FWS-2020-00724-0003720</v>
      </c>
      <c r="B3721" s="3" t="s">
        <v>5877</v>
      </c>
      <c r="C3721" s="3" t="s">
        <v>234</v>
      </c>
      <c r="D3721" s="3" t="s">
        <v>33</v>
      </c>
      <c r="E3721" s="3" t="s">
        <v>5879</v>
      </c>
      <c r="F3721" s="4">
        <v>43872.543749999997</v>
      </c>
      <c r="G3721" s="3"/>
      <c r="H3721" s="3"/>
      <c r="I3721" s="3" t="s">
        <v>7043</v>
      </c>
      <c r="J3721" s="3"/>
      <c r="K3721" s="3"/>
      <c r="L3721" s="5"/>
    </row>
    <row r="3722" spans="1:12" ht="28.8" x14ac:dyDescent="0.55000000000000004">
      <c r="A3722" s="9" t="str">
        <f>HYPERLINK("PDF\FOIA-FWS-2020-00724-0003721.pdf","FOIA-FWS-2020-00724-0003721")</f>
        <v>FOIA-FWS-2020-00724-0003721</v>
      </c>
      <c r="B3722" s="3" t="s">
        <v>5880</v>
      </c>
      <c r="C3722" s="3" t="s">
        <v>3</v>
      </c>
      <c r="D3722" s="3" t="s">
        <v>33</v>
      </c>
      <c r="E3722" s="3" t="s">
        <v>5882</v>
      </c>
      <c r="F3722" s="4">
        <v>43872.566666666666</v>
      </c>
      <c r="G3722" s="3" t="s">
        <v>872</v>
      </c>
      <c r="H3722" s="3" t="s">
        <v>5881</v>
      </c>
      <c r="I3722" s="3" t="s">
        <v>7043</v>
      </c>
      <c r="J3722" s="3"/>
      <c r="K3722" s="3"/>
      <c r="L3722" s="5"/>
    </row>
    <row r="3723" spans="1:12" ht="28.8" x14ac:dyDescent="0.55000000000000004">
      <c r="A3723" s="9" t="str">
        <f>HYPERLINK("PDF\FOIA-FWS-2020-00724-0003722.pdf","FOIA-FWS-2020-00724-0003722")</f>
        <v>FOIA-FWS-2020-00724-0003722</v>
      </c>
      <c r="B3723" s="3" t="s">
        <v>5880</v>
      </c>
      <c r="C3723" s="3" t="s">
        <v>234</v>
      </c>
      <c r="D3723" s="3" t="s">
        <v>33</v>
      </c>
      <c r="E3723" s="3" t="s">
        <v>5883</v>
      </c>
      <c r="F3723" s="4">
        <v>43872.566666666666</v>
      </c>
      <c r="G3723" s="3"/>
      <c r="H3723" s="3"/>
      <c r="I3723" s="3" t="s">
        <v>7043</v>
      </c>
      <c r="J3723" s="3"/>
      <c r="K3723" s="3"/>
      <c r="L3723" s="5"/>
    </row>
    <row r="3724" spans="1:12" ht="43.2" x14ac:dyDescent="0.55000000000000004">
      <c r="A3724" s="9" t="str">
        <f>HYPERLINK("PDF\FOIA-FWS-2020-00724-0003723.pdf","FOIA-FWS-2020-00724-0003723")</f>
        <v>FOIA-FWS-2020-00724-0003723</v>
      </c>
      <c r="B3724" s="3" t="s">
        <v>5884</v>
      </c>
      <c r="C3724" s="3" t="s">
        <v>3</v>
      </c>
      <c r="D3724" s="3" t="s">
        <v>33</v>
      </c>
      <c r="E3724" s="3" t="s">
        <v>5886</v>
      </c>
      <c r="F3724" s="4">
        <v>43872.604166666664</v>
      </c>
      <c r="G3724" s="3" t="s">
        <v>1119</v>
      </c>
      <c r="H3724" s="3" t="s">
        <v>5885</v>
      </c>
      <c r="I3724" s="3" t="s">
        <v>7043</v>
      </c>
      <c r="J3724" s="3"/>
      <c r="K3724" s="3"/>
      <c r="L3724" s="5"/>
    </row>
    <row r="3725" spans="1:12" ht="28.8" x14ac:dyDescent="0.55000000000000004">
      <c r="A3725" s="9" t="str">
        <f>HYPERLINK("PDF\FOIA-FWS-2020-00724-0003724.pdf","FOIA-FWS-2020-00724-0003724")</f>
        <v>FOIA-FWS-2020-00724-0003724</v>
      </c>
      <c r="B3725" s="3" t="s">
        <v>5884</v>
      </c>
      <c r="C3725" s="3" t="s">
        <v>234</v>
      </c>
      <c r="D3725" s="3" t="s">
        <v>4</v>
      </c>
      <c r="E3725" s="3" t="s">
        <v>5887</v>
      </c>
      <c r="F3725" s="4">
        <v>43872.604166666664</v>
      </c>
      <c r="G3725" s="3"/>
      <c r="H3725" s="3"/>
      <c r="I3725" s="3" t="s">
        <v>7043</v>
      </c>
      <c r="J3725" s="3"/>
      <c r="K3725" s="3"/>
      <c r="L3725" s="5"/>
    </row>
    <row r="3726" spans="1:12" ht="28.8" x14ac:dyDescent="0.55000000000000004">
      <c r="A3726" s="9" t="str">
        <f>HYPERLINK("PDF\FOIA-FWS-2020-00724-0003725.pdf","FOIA-FWS-2020-00724-0003725")</f>
        <v>FOIA-FWS-2020-00724-0003725</v>
      </c>
      <c r="B3726" s="3" t="s">
        <v>5888</v>
      </c>
      <c r="C3726" s="3" t="s">
        <v>3</v>
      </c>
      <c r="D3726" s="3" t="s">
        <v>33</v>
      </c>
      <c r="E3726" s="3" t="s">
        <v>5886</v>
      </c>
      <c r="F3726" s="4">
        <v>43872.61041666667</v>
      </c>
      <c r="G3726" s="3" t="s">
        <v>963</v>
      </c>
      <c r="H3726" s="3" t="s">
        <v>1119</v>
      </c>
      <c r="I3726" s="3" t="s">
        <v>7043</v>
      </c>
      <c r="J3726" s="3"/>
      <c r="K3726" s="3"/>
      <c r="L3726" s="5"/>
    </row>
    <row r="3727" spans="1:12" ht="28.8" x14ac:dyDescent="0.55000000000000004">
      <c r="A3727" s="9" t="str">
        <f>HYPERLINK("PDF\FOIA-FWS-2020-00724-0003726.pdf","FOIA-FWS-2020-00724-0003726")</f>
        <v>FOIA-FWS-2020-00724-0003726</v>
      </c>
      <c r="B3727" s="3" t="s">
        <v>5889</v>
      </c>
      <c r="C3727" s="3" t="s">
        <v>3</v>
      </c>
      <c r="D3727" s="3" t="s">
        <v>33</v>
      </c>
      <c r="E3727" s="3" t="s">
        <v>5890</v>
      </c>
      <c r="F3727" s="4">
        <v>43872.613888888889</v>
      </c>
      <c r="G3727" s="3" t="s">
        <v>872</v>
      </c>
      <c r="H3727" s="3" t="s">
        <v>5881</v>
      </c>
      <c r="I3727" s="3" t="s">
        <v>7043</v>
      </c>
      <c r="J3727" s="3"/>
      <c r="K3727" s="3"/>
      <c r="L3727" s="5"/>
    </row>
    <row r="3728" spans="1:12" ht="28.8" x14ac:dyDescent="0.55000000000000004">
      <c r="A3728" s="9" t="str">
        <f>HYPERLINK("PDF\FOIA-FWS-2020-00724-0003727.pdf","FOIA-FWS-2020-00724-0003727")</f>
        <v>FOIA-FWS-2020-00724-0003727</v>
      </c>
      <c r="B3728" s="3" t="s">
        <v>5891</v>
      </c>
      <c r="C3728" s="3" t="s">
        <v>3</v>
      </c>
      <c r="D3728" s="3" t="s">
        <v>33</v>
      </c>
      <c r="E3728" s="3" t="s">
        <v>5892</v>
      </c>
      <c r="F3728" s="4">
        <v>43872.631944444445</v>
      </c>
      <c r="G3728" s="3" t="s">
        <v>963</v>
      </c>
      <c r="H3728" s="3" t="s">
        <v>1392</v>
      </c>
      <c r="I3728" s="3" t="s">
        <v>7043</v>
      </c>
      <c r="J3728" s="3"/>
      <c r="K3728" s="3"/>
      <c r="L3728" s="5"/>
    </row>
    <row r="3729" spans="1:12" ht="28.8" x14ac:dyDescent="0.55000000000000004">
      <c r="A3729" s="9" t="str">
        <f>HYPERLINK("PDF\FOIA-FWS-2020-00724-0003728.pdf","FOIA-FWS-2020-00724-0003728")</f>
        <v>FOIA-FWS-2020-00724-0003728</v>
      </c>
      <c r="B3729" s="3" t="s">
        <v>5891</v>
      </c>
      <c r="C3729" s="3" t="s">
        <v>234</v>
      </c>
      <c r="D3729" s="3" t="s">
        <v>33</v>
      </c>
      <c r="E3729" s="3" t="s">
        <v>4276</v>
      </c>
      <c r="F3729" s="4">
        <v>43872.631944444445</v>
      </c>
      <c r="G3729" s="3"/>
      <c r="H3729" s="3"/>
      <c r="I3729" s="3" t="s">
        <v>7043</v>
      </c>
      <c r="J3729" s="3"/>
      <c r="K3729" s="3"/>
      <c r="L3729" s="5"/>
    </row>
    <row r="3730" spans="1:12" ht="28.8" x14ac:dyDescent="0.55000000000000004">
      <c r="A3730" s="9" t="str">
        <f>HYPERLINK("PDF\FOIA-FWS-2020-00724-0003729.pdf","FOIA-FWS-2020-00724-0003729")</f>
        <v>FOIA-FWS-2020-00724-0003729</v>
      </c>
      <c r="B3730" s="3" t="s">
        <v>5893</v>
      </c>
      <c r="C3730" s="3" t="s">
        <v>3</v>
      </c>
      <c r="D3730" s="3" t="s">
        <v>33</v>
      </c>
      <c r="E3730" s="3" t="s">
        <v>5892</v>
      </c>
      <c r="F3730" s="4">
        <v>43872.632638888892</v>
      </c>
      <c r="G3730" s="3" t="s">
        <v>1392</v>
      </c>
      <c r="H3730" s="3" t="s">
        <v>963</v>
      </c>
      <c r="I3730" s="3" t="s">
        <v>7043</v>
      </c>
      <c r="J3730" s="3"/>
      <c r="K3730" s="3"/>
      <c r="L3730" s="5"/>
    </row>
    <row r="3731" spans="1:12" ht="28.8" x14ac:dyDescent="0.55000000000000004">
      <c r="A3731" s="9" t="str">
        <f>HYPERLINK("PDF\FOIA-FWS-2020-00724-0003730.pdf","FOIA-FWS-2020-00724-0003730")</f>
        <v>FOIA-FWS-2020-00724-0003730</v>
      </c>
      <c r="B3731" s="3" t="s">
        <v>5894</v>
      </c>
      <c r="C3731" s="3" t="s">
        <v>3</v>
      </c>
      <c r="D3731" s="3" t="s">
        <v>33</v>
      </c>
      <c r="E3731" s="3" t="s">
        <v>5895</v>
      </c>
      <c r="F3731" s="4">
        <v>43872.708333333336</v>
      </c>
      <c r="G3731" s="3" t="s">
        <v>1392</v>
      </c>
      <c r="H3731" s="3" t="s">
        <v>2782</v>
      </c>
      <c r="I3731" s="3" t="s">
        <v>7043</v>
      </c>
      <c r="J3731" s="3"/>
      <c r="K3731" s="3"/>
      <c r="L3731" s="5"/>
    </row>
    <row r="3732" spans="1:12" ht="28.8" x14ac:dyDescent="0.55000000000000004">
      <c r="A3732" s="9" t="str">
        <f>HYPERLINK("PDF\FOIA-FWS-2020-00724-0003731.pdf","FOIA-FWS-2020-00724-0003731")</f>
        <v>FOIA-FWS-2020-00724-0003731</v>
      </c>
      <c r="B3732" s="3" t="s">
        <v>5896</v>
      </c>
      <c r="C3732" s="3" t="s">
        <v>3</v>
      </c>
      <c r="D3732" s="3" t="s">
        <v>33</v>
      </c>
      <c r="E3732" s="3" t="s">
        <v>5897</v>
      </c>
      <c r="F3732" s="4">
        <v>43872.741666666669</v>
      </c>
      <c r="G3732" s="3" t="s">
        <v>1392</v>
      </c>
      <c r="H3732" s="3" t="s">
        <v>963</v>
      </c>
      <c r="I3732" s="3" t="s">
        <v>7043</v>
      </c>
      <c r="J3732" s="3"/>
      <c r="K3732" s="3"/>
      <c r="L3732" s="5"/>
    </row>
    <row r="3733" spans="1:12" ht="28.8" x14ac:dyDescent="0.55000000000000004">
      <c r="A3733" s="9" t="str">
        <f>HYPERLINK("PDF\FOIA-FWS-2020-00724-0003732.pdf","FOIA-FWS-2020-00724-0003732")</f>
        <v>FOIA-FWS-2020-00724-0003732</v>
      </c>
      <c r="B3733" s="3" t="s">
        <v>5898</v>
      </c>
      <c r="C3733" s="3" t="s">
        <v>3</v>
      </c>
      <c r="D3733" s="3" t="s">
        <v>33</v>
      </c>
      <c r="E3733" s="3" t="s">
        <v>5899</v>
      </c>
      <c r="F3733" s="4">
        <v>43873</v>
      </c>
      <c r="G3733" s="3"/>
      <c r="H3733" s="3"/>
      <c r="I3733" s="3" t="s">
        <v>7043</v>
      </c>
      <c r="J3733" s="3"/>
      <c r="K3733" s="3"/>
      <c r="L3733" s="5"/>
    </row>
    <row r="3734" spans="1:12" ht="28.8" x14ac:dyDescent="0.55000000000000004">
      <c r="A3734" s="9" t="str">
        <f>HYPERLINK("PDF\FOIA-FWS-2020-00724-0003733.pdf","FOIA-FWS-2020-00724-0003733")</f>
        <v>FOIA-FWS-2020-00724-0003733</v>
      </c>
      <c r="B3734" s="3" t="s">
        <v>5900</v>
      </c>
      <c r="C3734" s="3" t="s">
        <v>3</v>
      </c>
      <c r="D3734" s="3" t="s">
        <v>4</v>
      </c>
      <c r="E3734" s="3" t="s">
        <v>5901</v>
      </c>
      <c r="F3734" s="4">
        <v>43873</v>
      </c>
      <c r="G3734" s="3"/>
      <c r="H3734" s="3"/>
      <c r="I3734" s="3" t="s">
        <v>7043</v>
      </c>
      <c r="J3734" s="3"/>
      <c r="K3734" s="3"/>
      <c r="L3734" s="5"/>
    </row>
    <row r="3735" spans="1:12" ht="28.8" x14ac:dyDescent="0.55000000000000004">
      <c r="A3735" s="9" t="str">
        <f>HYPERLINK("PDF\FOIA-FWS-2020-00724-0003734.pdf","FOIA-FWS-2020-00724-0003734")</f>
        <v>FOIA-FWS-2020-00724-0003734</v>
      </c>
      <c r="B3735" s="3" t="s">
        <v>5902</v>
      </c>
      <c r="C3735" s="3" t="s">
        <v>3</v>
      </c>
      <c r="D3735" s="3" t="s">
        <v>33</v>
      </c>
      <c r="E3735" s="3" t="s">
        <v>5903</v>
      </c>
      <c r="F3735" s="4">
        <v>43873</v>
      </c>
      <c r="G3735" s="3"/>
      <c r="H3735" s="3"/>
      <c r="I3735" s="3" t="s">
        <v>7043</v>
      </c>
      <c r="J3735" s="3"/>
      <c r="K3735" s="3"/>
      <c r="L3735" s="5"/>
    </row>
    <row r="3736" spans="1:12" ht="28.8" x14ac:dyDescent="0.55000000000000004">
      <c r="A3736" s="9" t="str">
        <f>HYPERLINK("PDF\FOIA-FWS-2020-00724-0003735.pdf","FOIA-FWS-2020-00724-0003735")</f>
        <v>FOIA-FWS-2020-00724-0003735</v>
      </c>
      <c r="B3736" s="3" t="s">
        <v>5904</v>
      </c>
      <c r="C3736" s="3" t="s">
        <v>3</v>
      </c>
      <c r="D3736" s="3" t="s">
        <v>33</v>
      </c>
      <c r="E3736" s="3" t="s">
        <v>5905</v>
      </c>
      <c r="F3736" s="4">
        <v>43873</v>
      </c>
      <c r="G3736" s="3"/>
      <c r="H3736" s="3"/>
      <c r="I3736" s="3" t="s">
        <v>7043</v>
      </c>
      <c r="J3736" s="3"/>
      <c r="K3736" s="3"/>
      <c r="L3736" s="5"/>
    </row>
    <row r="3737" spans="1:12" ht="28.8" x14ac:dyDescent="0.55000000000000004">
      <c r="A3737" s="9" t="str">
        <f>HYPERLINK("PDF\FOIA-FWS-2020-00724-0003736.pdf","FOIA-FWS-2020-00724-0003736")</f>
        <v>FOIA-FWS-2020-00724-0003736</v>
      </c>
      <c r="B3737" s="3" t="s">
        <v>5906</v>
      </c>
      <c r="C3737" s="3" t="s">
        <v>3</v>
      </c>
      <c r="D3737" s="3" t="s">
        <v>33</v>
      </c>
      <c r="E3737" s="3" t="s">
        <v>5909</v>
      </c>
      <c r="F3737" s="4">
        <v>43873</v>
      </c>
      <c r="G3737" s="3" t="s">
        <v>5907</v>
      </c>
      <c r="H3737" s="3" t="s">
        <v>5908</v>
      </c>
      <c r="I3737" s="3" t="s">
        <v>7043</v>
      </c>
      <c r="J3737" s="3"/>
      <c r="K3737" s="3"/>
      <c r="L3737" s="5"/>
    </row>
    <row r="3738" spans="1:12" ht="28.8" x14ac:dyDescent="0.55000000000000004">
      <c r="A3738" s="9" t="str">
        <f>HYPERLINK("PDF\FOIA-FWS-2020-00724-0003737.pdf","FOIA-FWS-2020-00724-0003737")</f>
        <v>FOIA-FWS-2020-00724-0003737</v>
      </c>
      <c r="B3738" s="3" t="s">
        <v>5910</v>
      </c>
      <c r="C3738" s="3" t="s">
        <v>3</v>
      </c>
      <c r="D3738" s="3" t="s">
        <v>33</v>
      </c>
      <c r="E3738" s="3" t="s">
        <v>5890</v>
      </c>
      <c r="F3738" s="4">
        <v>43873.009027777778</v>
      </c>
      <c r="G3738" s="3" t="s">
        <v>1119</v>
      </c>
      <c r="H3738" s="3" t="s">
        <v>3061</v>
      </c>
      <c r="I3738" s="3" t="s">
        <v>7043</v>
      </c>
      <c r="J3738" s="3"/>
      <c r="K3738" s="3"/>
      <c r="L3738" s="5"/>
    </row>
    <row r="3739" spans="1:12" ht="28.8" x14ac:dyDescent="0.55000000000000004">
      <c r="A3739" s="9" t="str">
        <f>HYPERLINK("PDF\FOIA-FWS-2020-00724-0003738.pdf","FOIA-FWS-2020-00724-0003738")</f>
        <v>FOIA-FWS-2020-00724-0003738</v>
      </c>
      <c r="B3739" s="3" t="s">
        <v>5910</v>
      </c>
      <c r="C3739" s="3" t="s">
        <v>234</v>
      </c>
      <c r="D3739" s="3" t="s">
        <v>33</v>
      </c>
      <c r="E3739" s="3" t="s">
        <v>5911</v>
      </c>
      <c r="F3739" s="4">
        <v>43873.009027777778</v>
      </c>
      <c r="G3739" s="3"/>
      <c r="H3739" s="3"/>
      <c r="I3739" s="3" t="s">
        <v>7043</v>
      </c>
      <c r="J3739" s="3"/>
      <c r="K3739" s="3"/>
      <c r="L3739" s="5"/>
    </row>
    <row r="3740" spans="1:12" ht="28.8" x14ac:dyDescent="0.55000000000000004">
      <c r="A3740" s="9" t="str">
        <f>HYPERLINK("PDF\FOIA-FWS-2020-00724-0003739.pdf","FOIA-FWS-2020-00724-0003739")</f>
        <v>FOIA-FWS-2020-00724-0003739</v>
      </c>
      <c r="B3740" s="3" t="s">
        <v>5912</v>
      </c>
      <c r="C3740" s="3" t="s">
        <v>3</v>
      </c>
      <c r="D3740" s="3" t="s">
        <v>33</v>
      </c>
      <c r="E3740" s="3" t="s">
        <v>5914</v>
      </c>
      <c r="F3740" s="4">
        <v>43873.449305555558</v>
      </c>
      <c r="G3740" s="3" t="s">
        <v>919</v>
      </c>
      <c r="H3740" s="3" t="s">
        <v>5913</v>
      </c>
      <c r="I3740" s="3" t="s">
        <v>7043</v>
      </c>
      <c r="J3740" s="3"/>
      <c r="K3740" s="3"/>
      <c r="L3740" s="5"/>
    </row>
    <row r="3741" spans="1:12" ht="28.8" x14ac:dyDescent="0.55000000000000004">
      <c r="A3741" s="9" t="str">
        <f>HYPERLINK("PDF\FOIA-FWS-2020-00724-0003740.pdf","FOIA-FWS-2020-00724-0003740")</f>
        <v>FOIA-FWS-2020-00724-0003740</v>
      </c>
      <c r="B3741" s="3" t="s">
        <v>5912</v>
      </c>
      <c r="C3741" s="3" t="s">
        <v>234</v>
      </c>
      <c r="D3741" s="3" t="s">
        <v>33</v>
      </c>
      <c r="E3741" s="3" t="s">
        <v>5915</v>
      </c>
      <c r="F3741" s="4">
        <v>43873.449305555558</v>
      </c>
      <c r="G3741" s="3"/>
      <c r="H3741" s="3"/>
      <c r="I3741" s="3" t="s">
        <v>7043</v>
      </c>
      <c r="J3741" s="3"/>
      <c r="K3741" s="3"/>
      <c r="L3741" s="5"/>
    </row>
    <row r="3742" spans="1:12" ht="28.8" x14ac:dyDescent="0.55000000000000004">
      <c r="A3742" s="9" t="str">
        <f>HYPERLINK("PDF\FOIA-FWS-2020-00724-0003741.pdf","FOIA-FWS-2020-00724-0003741")</f>
        <v>FOIA-FWS-2020-00724-0003741</v>
      </c>
      <c r="B3742" s="3" t="s">
        <v>5916</v>
      </c>
      <c r="C3742" s="3" t="s">
        <v>3</v>
      </c>
      <c r="D3742" s="3" t="s">
        <v>33</v>
      </c>
      <c r="E3742" s="3" t="s">
        <v>5890</v>
      </c>
      <c r="F3742" s="4">
        <v>43873.454861111109</v>
      </c>
      <c r="G3742" s="3" t="s">
        <v>1119</v>
      </c>
      <c r="H3742" s="3" t="s">
        <v>3061</v>
      </c>
      <c r="I3742" s="3" t="s">
        <v>7043</v>
      </c>
      <c r="J3742" s="3"/>
      <c r="K3742" s="3"/>
      <c r="L3742" s="5"/>
    </row>
    <row r="3743" spans="1:12" ht="43.2" x14ac:dyDescent="0.55000000000000004">
      <c r="A3743" s="9" t="str">
        <f>HYPERLINK("PDF\FOIA-FWS-2020-00724-0003742.pdf","FOIA-FWS-2020-00724-0003742")</f>
        <v>FOIA-FWS-2020-00724-0003742</v>
      </c>
      <c r="B3743" s="3" t="s">
        <v>5917</v>
      </c>
      <c r="C3743" s="3" t="s">
        <v>3</v>
      </c>
      <c r="D3743" s="3" t="s">
        <v>33</v>
      </c>
      <c r="E3743" s="3" t="s">
        <v>5919</v>
      </c>
      <c r="F3743" s="4">
        <v>43873.457638888889</v>
      </c>
      <c r="G3743" s="3" t="s">
        <v>919</v>
      </c>
      <c r="H3743" s="3" t="s">
        <v>5918</v>
      </c>
      <c r="I3743" s="3" t="s">
        <v>7043</v>
      </c>
      <c r="J3743" s="3"/>
      <c r="K3743" s="3"/>
      <c r="L3743" s="5"/>
    </row>
    <row r="3744" spans="1:12" ht="28.8" x14ac:dyDescent="0.55000000000000004">
      <c r="A3744" s="9" t="str">
        <f>HYPERLINK("PDF\FOIA-FWS-2020-00724-0003743.pdf","FOIA-FWS-2020-00724-0003743")</f>
        <v>FOIA-FWS-2020-00724-0003743</v>
      </c>
      <c r="B3744" s="3" t="s">
        <v>5920</v>
      </c>
      <c r="C3744" s="3" t="s">
        <v>3</v>
      </c>
      <c r="D3744" s="3" t="s">
        <v>33</v>
      </c>
      <c r="E3744" s="3" t="s">
        <v>5890</v>
      </c>
      <c r="F3744" s="4">
        <v>43873.46597222222</v>
      </c>
      <c r="G3744" s="3" t="s">
        <v>872</v>
      </c>
      <c r="H3744" s="3" t="s">
        <v>5921</v>
      </c>
      <c r="I3744" s="3" t="s">
        <v>7043</v>
      </c>
      <c r="J3744" s="3"/>
      <c r="K3744" s="3"/>
      <c r="L3744" s="5"/>
    </row>
    <row r="3745" spans="1:12" ht="28.8" x14ac:dyDescent="0.55000000000000004">
      <c r="A3745" s="9" t="str">
        <f>HYPERLINK("PDF\FOIA-FWS-2020-00724-0003744.pdf","FOIA-FWS-2020-00724-0003744")</f>
        <v>FOIA-FWS-2020-00724-0003744</v>
      </c>
      <c r="B3745" s="3" t="s">
        <v>5920</v>
      </c>
      <c r="C3745" s="3" t="s">
        <v>234</v>
      </c>
      <c r="D3745" s="3" t="s">
        <v>33</v>
      </c>
      <c r="E3745" s="3" t="s">
        <v>5883</v>
      </c>
      <c r="F3745" s="4">
        <v>43873.46597222222</v>
      </c>
      <c r="G3745" s="3"/>
      <c r="H3745" s="3"/>
      <c r="I3745" s="3" t="s">
        <v>7043</v>
      </c>
      <c r="J3745" s="3"/>
      <c r="K3745" s="3"/>
      <c r="L3745" s="5"/>
    </row>
    <row r="3746" spans="1:12" ht="28.8" x14ac:dyDescent="0.55000000000000004">
      <c r="A3746" s="9" t="str">
        <f>HYPERLINK("PDF\FOIA-FWS-2020-00724-0003745.pdf","FOIA-FWS-2020-00724-0003745")</f>
        <v>FOIA-FWS-2020-00724-0003745</v>
      </c>
      <c r="B3746" s="3" t="s">
        <v>5922</v>
      </c>
      <c r="C3746" s="3" t="s">
        <v>3</v>
      </c>
      <c r="D3746" s="3" t="s">
        <v>33</v>
      </c>
      <c r="E3746" s="3" t="s">
        <v>5923</v>
      </c>
      <c r="F3746" s="4">
        <v>43873.474305555559</v>
      </c>
      <c r="G3746" s="3" t="s">
        <v>5800</v>
      </c>
      <c r="H3746" s="3" t="s">
        <v>1392</v>
      </c>
      <c r="I3746" s="3" t="s">
        <v>7043</v>
      </c>
      <c r="J3746" s="3"/>
      <c r="K3746" s="3"/>
      <c r="L3746" s="5"/>
    </row>
    <row r="3747" spans="1:12" ht="28.8" x14ac:dyDescent="0.55000000000000004">
      <c r="A3747" s="9" t="str">
        <f>HYPERLINK("PDF\FOIA-FWS-2020-00724-0003746.pdf","FOIA-FWS-2020-00724-0003746")</f>
        <v>FOIA-FWS-2020-00724-0003746</v>
      </c>
      <c r="B3747" s="3" t="s">
        <v>5924</v>
      </c>
      <c r="C3747" s="3" t="s">
        <v>3</v>
      </c>
      <c r="D3747" s="3" t="s">
        <v>33</v>
      </c>
      <c r="E3747" s="3" t="s">
        <v>5925</v>
      </c>
      <c r="F3747" s="4">
        <v>43873.495138888888</v>
      </c>
      <c r="G3747" s="3" t="s">
        <v>2022</v>
      </c>
      <c r="H3747" s="3" t="s">
        <v>945</v>
      </c>
      <c r="I3747" s="3" t="s">
        <v>7043</v>
      </c>
      <c r="J3747" s="3"/>
      <c r="K3747" s="3"/>
      <c r="L3747" s="5"/>
    </row>
    <row r="3748" spans="1:12" ht="28.8" x14ac:dyDescent="0.55000000000000004">
      <c r="A3748" s="9" t="str">
        <f>HYPERLINK("PDF\FOIA-FWS-2020-00724-0003747.pdf","FOIA-FWS-2020-00724-0003747")</f>
        <v>FOIA-FWS-2020-00724-0003747</v>
      </c>
      <c r="B3748" s="3" t="s">
        <v>5924</v>
      </c>
      <c r="C3748" s="3" t="s">
        <v>234</v>
      </c>
      <c r="D3748" s="3" t="s">
        <v>33</v>
      </c>
      <c r="E3748" s="3" t="s">
        <v>5926</v>
      </c>
      <c r="F3748" s="4">
        <v>43873.495138888888</v>
      </c>
      <c r="G3748" s="3"/>
      <c r="H3748" s="3"/>
      <c r="I3748" s="3" t="s">
        <v>7043</v>
      </c>
      <c r="J3748" s="3"/>
      <c r="K3748" s="3"/>
      <c r="L3748" s="5"/>
    </row>
    <row r="3749" spans="1:12" ht="28.8" x14ac:dyDescent="0.55000000000000004">
      <c r="A3749" s="9" t="str">
        <f>HYPERLINK("PDF\FOIA-FWS-2020-00724-0003748.pdf","FOIA-FWS-2020-00724-0003748")</f>
        <v>FOIA-FWS-2020-00724-0003748</v>
      </c>
      <c r="B3749" s="3" t="s">
        <v>5927</v>
      </c>
      <c r="C3749" s="3" t="s">
        <v>3</v>
      </c>
      <c r="D3749" s="3" t="s">
        <v>33</v>
      </c>
      <c r="E3749" s="3" t="s">
        <v>5928</v>
      </c>
      <c r="F3749" s="4">
        <v>43873.503472222219</v>
      </c>
      <c r="G3749" s="3" t="s">
        <v>872</v>
      </c>
      <c r="H3749" s="3" t="s">
        <v>1119</v>
      </c>
      <c r="I3749" s="3" t="s">
        <v>7043</v>
      </c>
      <c r="J3749" s="3"/>
      <c r="K3749" s="3"/>
      <c r="L3749" s="5"/>
    </row>
    <row r="3750" spans="1:12" ht="28.8" x14ac:dyDescent="0.55000000000000004">
      <c r="A3750" s="9" t="str">
        <f>HYPERLINK("PDF\FOIA-FWS-2020-00724-0003749.pdf","FOIA-FWS-2020-00724-0003749")</f>
        <v>FOIA-FWS-2020-00724-0003749</v>
      </c>
      <c r="B3750" s="3" t="s">
        <v>5927</v>
      </c>
      <c r="C3750" s="3" t="s">
        <v>234</v>
      </c>
      <c r="D3750" s="3" t="s">
        <v>33</v>
      </c>
      <c r="E3750" s="3" t="s">
        <v>5929</v>
      </c>
      <c r="F3750" s="4">
        <v>43873.503472222219</v>
      </c>
      <c r="G3750" s="3"/>
      <c r="H3750" s="3"/>
      <c r="I3750" s="3" t="s">
        <v>7043</v>
      </c>
      <c r="J3750" s="3"/>
      <c r="K3750" s="3"/>
      <c r="L3750" s="5"/>
    </row>
    <row r="3751" spans="1:12" ht="28.8" x14ac:dyDescent="0.55000000000000004">
      <c r="A3751" s="9" t="str">
        <f>HYPERLINK("PDF\FOIA-FWS-2020-00724-0003750.pdf","FOIA-FWS-2020-00724-0003750")</f>
        <v>FOIA-FWS-2020-00724-0003750</v>
      </c>
      <c r="B3751" s="3" t="s">
        <v>5930</v>
      </c>
      <c r="C3751" s="3" t="s">
        <v>3</v>
      </c>
      <c r="D3751" s="3" t="s">
        <v>33</v>
      </c>
      <c r="E3751" s="3" t="s">
        <v>5931</v>
      </c>
      <c r="F3751" s="4">
        <v>43873.517361111109</v>
      </c>
      <c r="G3751" s="3" t="s">
        <v>945</v>
      </c>
      <c r="H3751" s="3" t="s">
        <v>5800</v>
      </c>
      <c r="I3751" s="3" t="s">
        <v>7043</v>
      </c>
      <c r="J3751" s="3"/>
      <c r="K3751" s="3"/>
      <c r="L3751" s="5"/>
    </row>
    <row r="3752" spans="1:12" ht="28.8" x14ac:dyDescent="0.55000000000000004">
      <c r="A3752" s="9" t="str">
        <f>HYPERLINK("PDF\FOIA-FWS-2020-00724-0003751.pdf","FOIA-FWS-2020-00724-0003751")</f>
        <v>FOIA-FWS-2020-00724-0003751</v>
      </c>
      <c r="B3752" s="3" t="s">
        <v>5930</v>
      </c>
      <c r="C3752" s="3" t="s">
        <v>234</v>
      </c>
      <c r="D3752" s="3" t="s">
        <v>33</v>
      </c>
      <c r="E3752" s="3" t="s">
        <v>5932</v>
      </c>
      <c r="F3752" s="4">
        <v>43873.517361111109</v>
      </c>
      <c r="G3752" s="3"/>
      <c r="H3752" s="3"/>
      <c r="I3752" s="3" t="s">
        <v>7043</v>
      </c>
      <c r="J3752" s="3"/>
      <c r="K3752" s="3"/>
      <c r="L3752" s="5"/>
    </row>
    <row r="3753" spans="1:12" ht="28.8" x14ac:dyDescent="0.55000000000000004">
      <c r="A3753" s="9" t="str">
        <f>HYPERLINK("PDF\FOIA-FWS-2020-00724-0003752.pdf","FOIA-FWS-2020-00724-0003752")</f>
        <v>FOIA-FWS-2020-00724-0003752</v>
      </c>
      <c r="B3753" s="3" t="s">
        <v>5933</v>
      </c>
      <c r="C3753" s="3" t="s">
        <v>3</v>
      </c>
      <c r="D3753" s="3" t="s">
        <v>33</v>
      </c>
      <c r="E3753" s="3" t="s">
        <v>5935</v>
      </c>
      <c r="F3753" s="4">
        <v>43873.568749999999</v>
      </c>
      <c r="G3753" s="3" t="s">
        <v>1119</v>
      </c>
      <c r="H3753" s="3" t="s">
        <v>5934</v>
      </c>
      <c r="I3753" s="3" t="s">
        <v>7043</v>
      </c>
      <c r="J3753" s="3"/>
      <c r="K3753" s="3"/>
      <c r="L3753" s="5"/>
    </row>
    <row r="3754" spans="1:12" ht="28.8" x14ac:dyDescent="0.55000000000000004">
      <c r="A3754" s="9" t="str">
        <f>HYPERLINK("PDF\FOIA-FWS-2020-00724-0003753.pdf","FOIA-FWS-2020-00724-0003753")</f>
        <v>FOIA-FWS-2020-00724-0003753</v>
      </c>
      <c r="B3754" s="3" t="s">
        <v>5933</v>
      </c>
      <c r="C3754" s="3" t="s">
        <v>234</v>
      </c>
      <c r="D3754" s="3" t="s">
        <v>33</v>
      </c>
      <c r="E3754" s="3" t="s">
        <v>5761</v>
      </c>
      <c r="F3754" s="4">
        <v>43873.568749999999</v>
      </c>
      <c r="G3754" s="3"/>
      <c r="H3754" s="3"/>
      <c r="I3754" s="3" t="s">
        <v>7043</v>
      </c>
      <c r="J3754" s="3"/>
      <c r="K3754" s="3"/>
      <c r="L3754" s="5"/>
    </row>
    <row r="3755" spans="1:12" ht="28.8" x14ac:dyDescent="0.55000000000000004">
      <c r="A3755" s="9" t="str">
        <f>HYPERLINK("PDF\FOIA-FWS-2020-00724-0003754.pdf","FOIA-FWS-2020-00724-0003754")</f>
        <v>FOIA-FWS-2020-00724-0003754</v>
      </c>
      <c r="B3755" s="3" t="s">
        <v>5936</v>
      </c>
      <c r="C3755" s="3" t="s">
        <v>3</v>
      </c>
      <c r="D3755" s="3" t="s">
        <v>33</v>
      </c>
      <c r="E3755" s="3" t="s">
        <v>5937</v>
      </c>
      <c r="F3755" s="4">
        <v>43873.570138888892</v>
      </c>
      <c r="G3755" s="3" t="s">
        <v>872</v>
      </c>
      <c r="H3755" s="3" t="s">
        <v>5881</v>
      </c>
      <c r="I3755" s="3" t="s">
        <v>864</v>
      </c>
      <c r="J3755" s="3" t="s">
        <v>7046</v>
      </c>
      <c r="K3755" s="3" t="s">
        <v>7036</v>
      </c>
      <c r="L3755" s="5"/>
    </row>
    <row r="3756" spans="1:12" ht="28.8" x14ac:dyDescent="0.55000000000000004">
      <c r="A3756" s="9" t="str">
        <f>HYPERLINK("PDF\FOIA-FWS-2020-00724-0003755.pdf","FOIA-FWS-2020-00724-0003755")</f>
        <v>FOIA-FWS-2020-00724-0003755</v>
      </c>
      <c r="B3756" s="3" t="s">
        <v>5938</v>
      </c>
      <c r="C3756" s="3" t="s">
        <v>3</v>
      </c>
      <c r="D3756" s="3" t="s">
        <v>33</v>
      </c>
      <c r="E3756" s="3" t="s">
        <v>5939</v>
      </c>
      <c r="F3756" s="4">
        <v>43873.584722222222</v>
      </c>
      <c r="G3756" s="3" t="s">
        <v>1119</v>
      </c>
      <c r="H3756" s="3" t="s">
        <v>861</v>
      </c>
      <c r="I3756" s="3" t="s">
        <v>7043</v>
      </c>
      <c r="J3756" s="3"/>
      <c r="K3756" s="3"/>
      <c r="L3756" s="5"/>
    </row>
    <row r="3757" spans="1:12" ht="28.8" x14ac:dyDescent="0.55000000000000004">
      <c r="A3757" s="9" t="str">
        <f>HYPERLINK("PDF\FOIA-FWS-2020-00724-0003756.pdf","FOIA-FWS-2020-00724-0003756")</f>
        <v>FOIA-FWS-2020-00724-0003756</v>
      </c>
      <c r="B3757" s="3" t="s">
        <v>5940</v>
      </c>
      <c r="C3757" s="3" t="s">
        <v>3</v>
      </c>
      <c r="D3757" s="3" t="s">
        <v>33</v>
      </c>
      <c r="E3757" s="3" t="s">
        <v>5941</v>
      </c>
      <c r="F3757" s="4">
        <v>43873.603472222225</v>
      </c>
      <c r="G3757" s="3" t="s">
        <v>1034</v>
      </c>
      <c r="H3757" s="3" t="s">
        <v>872</v>
      </c>
      <c r="I3757" s="3" t="s">
        <v>7043</v>
      </c>
      <c r="J3757" s="3"/>
      <c r="K3757" s="3"/>
      <c r="L3757" s="5"/>
    </row>
    <row r="3758" spans="1:12" ht="28.8" x14ac:dyDescent="0.55000000000000004">
      <c r="A3758" s="9" t="str">
        <f>HYPERLINK("PDF\FOIA-FWS-2020-00724-0003757.pdf","FOIA-FWS-2020-00724-0003757")</f>
        <v>FOIA-FWS-2020-00724-0003757</v>
      </c>
      <c r="B3758" s="3" t="s">
        <v>5942</v>
      </c>
      <c r="C3758" s="3" t="s">
        <v>3</v>
      </c>
      <c r="D3758" s="3" t="s">
        <v>33</v>
      </c>
      <c r="E3758" s="3" t="s">
        <v>5943</v>
      </c>
      <c r="F3758" s="4">
        <v>43873.614583333336</v>
      </c>
      <c r="G3758" s="3" t="s">
        <v>872</v>
      </c>
      <c r="H3758" s="3" t="s">
        <v>1392</v>
      </c>
      <c r="I3758" s="3" t="s">
        <v>7043</v>
      </c>
      <c r="J3758" s="3"/>
      <c r="K3758" s="3"/>
      <c r="L3758" s="5"/>
    </row>
    <row r="3759" spans="1:12" ht="43.2" x14ac:dyDescent="0.55000000000000004">
      <c r="A3759" s="9" t="str">
        <f>HYPERLINK("PDF\FOIA-FWS-2020-00724-0003758.pdf","FOIA-FWS-2020-00724-0003758")</f>
        <v>FOIA-FWS-2020-00724-0003758</v>
      </c>
      <c r="B3759" s="3" t="s">
        <v>5944</v>
      </c>
      <c r="C3759" s="3" t="s">
        <v>3</v>
      </c>
      <c r="D3759" s="3" t="s">
        <v>33</v>
      </c>
      <c r="E3759" s="3" t="s">
        <v>5946</v>
      </c>
      <c r="F3759" s="4">
        <v>43873.647222222222</v>
      </c>
      <c r="G3759" s="3" t="s">
        <v>5800</v>
      </c>
      <c r="H3759" s="3" t="s">
        <v>5945</v>
      </c>
      <c r="I3759" s="3" t="s">
        <v>7043</v>
      </c>
      <c r="J3759" s="3"/>
      <c r="K3759" s="3"/>
      <c r="L3759" s="5"/>
    </row>
    <row r="3760" spans="1:12" ht="28.8" x14ac:dyDescent="0.55000000000000004">
      <c r="A3760" s="9" t="str">
        <f>HYPERLINK("PDF\FOIA-FWS-2020-00724-0003759.pdf","FOIA-FWS-2020-00724-0003759")</f>
        <v>FOIA-FWS-2020-00724-0003759</v>
      </c>
      <c r="B3760" s="3" t="s">
        <v>5947</v>
      </c>
      <c r="C3760" s="3" t="s">
        <v>3</v>
      </c>
      <c r="D3760" s="3" t="s">
        <v>33</v>
      </c>
      <c r="E3760" s="3" t="s">
        <v>5948</v>
      </c>
      <c r="F3760" s="4">
        <v>43873.708333333336</v>
      </c>
      <c r="G3760" s="3" t="s">
        <v>2022</v>
      </c>
      <c r="H3760" s="3" t="s">
        <v>945</v>
      </c>
      <c r="I3760" s="3" t="s">
        <v>7043</v>
      </c>
      <c r="J3760" s="3"/>
      <c r="K3760" s="3"/>
      <c r="L3760" s="5"/>
    </row>
    <row r="3761" spans="1:12" ht="28.8" x14ac:dyDescent="0.55000000000000004">
      <c r="A3761" s="9" t="str">
        <f>HYPERLINK("PDF\FOIA-FWS-2020-00724-0003760.pdf","FOIA-FWS-2020-00724-0003760")</f>
        <v>FOIA-FWS-2020-00724-0003760</v>
      </c>
      <c r="B3761" s="3" t="s">
        <v>5947</v>
      </c>
      <c r="C3761" s="3" t="s">
        <v>234</v>
      </c>
      <c r="D3761" s="3" t="s">
        <v>33</v>
      </c>
      <c r="E3761" s="3" t="s">
        <v>5949</v>
      </c>
      <c r="F3761" s="4">
        <v>43873.708333333336</v>
      </c>
      <c r="G3761" s="3"/>
      <c r="H3761" s="3"/>
      <c r="I3761" s="3" t="s">
        <v>7043</v>
      </c>
      <c r="J3761" s="3"/>
      <c r="K3761" s="3"/>
      <c r="L3761" s="5"/>
    </row>
    <row r="3762" spans="1:12" ht="28.8" x14ac:dyDescent="0.55000000000000004">
      <c r="A3762" s="9" t="str">
        <f>HYPERLINK("PDF\FOIA-FWS-2020-00724-0003761.pdf","FOIA-FWS-2020-00724-0003761")</f>
        <v>FOIA-FWS-2020-00724-0003761</v>
      </c>
      <c r="B3762" s="3" t="s">
        <v>5950</v>
      </c>
      <c r="C3762" s="3" t="s">
        <v>3</v>
      </c>
      <c r="D3762" s="3" t="s">
        <v>33</v>
      </c>
      <c r="E3762" s="3" t="s">
        <v>5951</v>
      </c>
      <c r="F3762" s="4">
        <v>43873.711805555555</v>
      </c>
      <c r="G3762" s="3" t="s">
        <v>872</v>
      </c>
      <c r="H3762" s="3" t="s">
        <v>5881</v>
      </c>
      <c r="I3762" s="3" t="s">
        <v>7043</v>
      </c>
      <c r="J3762" s="3"/>
      <c r="K3762" s="3"/>
      <c r="L3762" s="5"/>
    </row>
    <row r="3763" spans="1:12" ht="28.8" x14ac:dyDescent="0.55000000000000004">
      <c r="A3763" s="9" t="str">
        <f>HYPERLINK("PDF\FOIA-FWS-2020-00724-0003762.pdf","FOIA-FWS-2020-00724-0003762")</f>
        <v>FOIA-FWS-2020-00724-0003762</v>
      </c>
      <c r="B3763" s="3" t="s">
        <v>5952</v>
      </c>
      <c r="C3763" s="3" t="s">
        <v>3</v>
      </c>
      <c r="D3763" s="3" t="s">
        <v>33</v>
      </c>
      <c r="E3763" s="3" t="s">
        <v>5914</v>
      </c>
      <c r="F3763" s="4">
        <v>43873.730555555558</v>
      </c>
      <c r="G3763" s="3" t="s">
        <v>919</v>
      </c>
      <c r="H3763" s="3" t="s">
        <v>5913</v>
      </c>
      <c r="I3763" s="3" t="s">
        <v>7043</v>
      </c>
      <c r="J3763" s="3"/>
      <c r="K3763" s="3"/>
      <c r="L3763" s="5"/>
    </row>
    <row r="3764" spans="1:12" ht="28.8" x14ac:dyDescent="0.55000000000000004">
      <c r="A3764" s="9" t="str">
        <f>HYPERLINK("PDF\FOIA-FWS-2020-00724-0003763.pdf","FOIA-FWS-2020-00724-0003763")</f>
        <v>FOIA-FWS-2020-00724-0003763</v>
      </c>
      <c r="B3764" s="3" t="s">
        <v>5952</v>
      </c>
      <c r="C3764" s="3" t="s">
        <v>234</v>
      </c>
      <c r="D3764" s="3" t="s">
        <v>33</v>
      </c>
      <c r="E3764" s="3" t="s">
        <v>5953</v>
      </c>
      <c r="F3764" s="4">
        <v>43873.730555555558</v>
      </c>
      <c r="G3764" s="3"/>
      <c r="H3764" s="3"/>
      <c r="I3764" s="3" t="s">
        <v>7043</v>
      </c>
      <c r="J3764" s="3"/>
      <c r="K3764" s="3"/>
      <c r="L3764" s="5"/>
    </row>
    <row r="3765" spans="1:12" ht="28.8" x14ac:dyDescent="0.55000000000000004">
      <c r="A3765" s="9" t="str">
        <f>HYPERLINK("PDF\FOIA-FWS-2020-00724-0003764.pdf","FOIA-FWS-2020-00724-0003764")</f>
        <v>FOIA-FWS-2020-00724-0003764</v>
      </c>
      <c r="B3765" s="3" t="s">
        <v>5954</v>
      </c>
      <c r="C3765" s="3" t="s">
        <v>3</v>
      </c>
      <c r="D3765" s="3" t="s">
        <v>33</v>
      </c>
      <c r="E3765" s="3" t="s">
        <v>5955</v>
      </c>
      <c r="F3765" s="4">
        <v>43873.775694444441</v>
      </c>
      <c r="G3765" s="3" t="s">
        <v>955</v>
      </c>
      <c r="H3765" s="3" t="s">
        <v>1119</v>
      </c>
      <c r="I3765" s="3" t="s">
        <v>7043</v>
      </c>
      <c r="J3765" s="3"/>
      <c r="K3765" s="3"/>
      <c r="L3765" s="5"/>
    </row>
    <row r="3766" spans="1:12" ht="28.8" x14ac:dyDescent="0.55000000000000004">
      <c r="A3766" s="9" t="str">
        <f>HYPERLINK("PDF\FOIA-FWS-2020-00724-0003765.pdf","FOIA-FWS-2020-00724-0003765")</f>
        <v>FOIA-FWS-2020-00724-0003765</v>
      </c>
      <c r="B3766" s="3" t="s">
        <v>5954</v>
      </c>
      <c r="C3766" s="3" t="s">
        <v>234</v>
      </c>
      <c r="D3766" s="3" t="s">
        <v>33</v>
      </c>
      <c r="E3766" s="3" t="s">
        <v>5956</v>
      </c>
      <c r="F3766" s="4">
        <v>43873.775694444441</v>
      </c>
      <c r="G3766" s="3"/>
      <c r="H3766" s="3"/>
      <c r="I3766" s="3" t="s">
        <v>7043</v>
      </c>
      <c r="J3766" s="3"/>
      <c r="K3766" s="3"/>
      <c r="L3766" s="5"/>
    </row>
    <row r="3767" spans="1:12" ht="28.8" x14ac:dyDescent="0.55000000000000004">
      <c r="A3767" s="9" t="str">
        <f>HYPERLINK("PDF\FOIA-FWS-2020-00724-0003766.pdf","FOIA-FWS-2020-00724-0003766")</f>
        <v>FOIA-FWS-2020-00724-0003766</v>
      </c>
      <c r="B3767" s="3" t="s">
        <v>5957</v>
      </c>
      <c r="C3767" s="3" t="s">
        <v>3</v>
      </c>
      <c r="D3767" s="3" t="s">
        <v>33</v>
      </c>
      <c r="E3767" s="3" t="s">
        <v>5890</v>
      </c>
      <c r="F3767" s="4">
        <v>43873.776388888888</v>
      </c>
      <c r="G3767" s="3" t="s">
        <v>872</v>
      </c>
      <c r="H3767" s="3" t="s">
        <v>5921</v>
      </c>
      <c r="I3767" s="3" t="s">
        <v>7043</v>
      </c>
      <c r="J3767" s="3"/>
      <c r="K3767" s="3"/>
      <c r="L3767" s="5"/>
    </row>
    <row r="3768" spans="1:12" ht="28.8" x14ac:dyDescent="0.55000000000000004">
      <c r="A3768" s="9" t="str">
        <f>HYPERLINK("PDF\FOIA-FWS-2020-00724-0003767.pdf","FOIA-FWS-2020-00724-0003767")</f>
        <v>FOIA-FWS-2020-00724-0003767</v>
      </c>
      <c r="B3768" s="3" t="s">
        <v>5958</v>
      </c>
      <c r="C3768" s="3" t="s">
        <v>3</v>
      </c>
      <c r="D3768" s="3" t="s">
        <v>33</v>
      </c>
      <c r="E3768" s="3" t="s">
        <v>5960</v>
      </c>
      <c r="F3768" s="4">
        <v>43873.78402777778</v>
      </c>
      <c r="G3768" s="3" t="s">
        <v>945</v>
      </c>
      <c r="H3768" s="3" t="s">
        <v>5959</v>
      </c>
      <c r="I3768" s="3" t="s">
        <v>7043</v>
      </c>
      <c r="J3768" s="3"/>
      <c r="K3768" s="3"/>
      <c r="L3768" s="5"/>
    </row>
    <row r="3769" spans="1:12" ht="28.8" x14ac:dyDescent="0.55000000000000004">
      <c r="A3769" s="9" t="str">
        <f>HYPERLINK("PDF\FOIA-FWS-2020-00724-0003768.pdf","FOIA-FWS-2020-00724-0003768")</f>
        <v>FOIA-FWS-2020-00724-0003768</v>
      </c>
      <c r="B3769" s="3" t="s">
        <v>5958</v>
      </c>
      <c r="C3769" s="3" t="s">
        <v>234</v>
      </c>
      <c r="D3769" s="3" t="s">
        <v>33</v>
      </c>
      <c r="E3769" s="3" t="s">
        <v>5961</v>
      </c>
      <c r="F3769" s="4">
        <v>43873.78402777778</v>
      </c>
      <c r="G3769" s="3"/>
      <c r="H3769" s="3"/>
      <c r="I3769" s="3" t="s">
        <v>7043</v>
      </c>
      <c r="J3769" s="3"/>
      <c r="K3769" s="3"/>
      <c r="L3769" s="5"/>
    </row>
    <row r="3770" spans="1:12" ht="28.8" x14ac:dyDescent="0.55000000000000004">
      <c r="A3770" s="9" t="str">
        <f>HYPERLINK("PDF\FOIA-FWS-2020-00724-0003769.pdf","FOIA-FWS-2020-00724-0003769")</f>
        <v>FOIA-FWS-2020-00724-0003769</v>
      </c>
      <c r="B3770" s="3" t="s">
        <v>5958</v>
      </c>
      <c r="C3770" s="3" t="s">
        <v>234</v>
      </c>
      <c r="D3770" s="3" t="s">
        <v>33</v>
      </c>
      <c r="E3770" s="3" t="s">
        <v>5962</v>
      </c>
      <c r="F3770" s="4">
        <v>43873.78402777778</v>
      </c>
      <c r="G3770" s="3"/>
      <c r="H3770" s="3"/>
      <c r="I3770" s="3" t="s">
        <v>7043</v>
      </c>
      <c r="J3770" s="3"/>
      <c r="K3770" s="3"/>
      <c r="L3770" s="5"/>
    </row>
    <row r="3771" spans="1:12" ht="28.8" x14ac:dyDescent="0.55000000000000004">
      <c r="A3771" s="9" t="str">
        <f>HYPERLINK("PDF\FOIA-FWS-2020-00724-0003770.pdf","FOIA-FWS-2020-00724-0003770")</f>
        <v>FOIA-FWS-2020-00724-0003770</v>
      </c>
      <c r="B3771" s="3" t="s">
        <v>5963</v>
      </c>
      <c r="C3771" s="3" t="s">
        <v>3</v>
      </c>
      <c r="D3771" s="3" t="s">
        <v>33</v>
      </c>
      <c r="E3771" s="3" t="s">
        <v>5964</v>
      </c>
      <c r="F3771" s="4">
        <v>43873.786805555559</v>
      </c>
      <c r="G3771" s="3" t="s">
        <v>1119</v>
      </c>
      <c r="H3771" s="3" t="s">
        <v>872</v>
      </c>
      <c r="I3771" s="3" t="s">
        <v>7043</v>
      </c>
      <c r="J3771" s="3"/>
      <c r="K3771" s="3"/>
      <c r="L3771" s="5"/>
    </row>
    <row r="3772" spans="1:12" ht="28.8" x14ac:dyDescent="0.55000000000000004">
      <c r="A3772" s="9" t="str">
        <f>HYPERLINK("PDF\FOIA-FWS-2020-00724-0003771.pdf","FOIA-FWS-2020-00724-0003771")</f>
        <v>FOIA-FWS-2020-00724-0003771</v>
      </c>
      <c r="B3772" s="3" t="s">
        <v>5965</v>
      </c>
      <c r="C3772" s="3" t="s">
        <v>3</v>
      </c>
      <c r="D3772" s="3" t="s">
        <v>33</v>
      </c>
      <c r="E3772" s="3" t="s">
        <v>5966</v>
      </c>
      <c r="F3772" s="4">
        <v>43874</v>
      </c>
      <c r="G3772" s="3"/>
      <c r="H3772" s="3"/>
      <c r="I3772" s="3" t="s">
        <v>7043</v>
      </c>
      <c r="J3772" s="3"/>
      <c r="K3772" s="3"/>
      <c r="L3772" s="5"/>
    </row>
    <row r="3773" spans="1:12" ht="28.8" x14ac:dyDescent="0.55000000000000004">
      <c r="A3773" s="9" t="str">
        <f>HYPERLINK("PDF\FOIA-FWS-2020-00724-0003772.pdf","FOIA-FWS-2020-00724-0003772")</f>
        <v>FOIA-FWS-2020-00724-0003772</v>
      </c>
      <c r="B3773" s="3" t="s">
        <v>5967</v>
      </c>
      <c r="C3773" s="3" t="s">
        <v>3</v>
      </c>
      <c r="D3773" s="3" t="s">
        <v>33</v>
      </c>
      <c r="E3773" s="3" t="s">
        <v>5968</v>
      </c>
      <c r="F3773" s="4">
        <v>43874</v>
      </c>
      <c r="G3773" s="3"/>
      <c r="H3773" s="3"/>
      <c r="I3773" s="3" t="s">
        <v>7043</v>
      </c>
      <c r="J3773" s="3"/>
      <c r="K3773" s="3"/>
      <c r="L3773" s="5"/>
    </row>
    <row r="3774" spans="1:12" ht="28.8" x14ac:dyDescent="0.55000000000000004">
      <c r="A3774" s="9" t="str">
        <f>HYPERLINK("PDF\FOIA-FWS-2020-00724-0003773.pdf","FOIA-FWS-2020-00724-0003773")</f>
        <v>FOIA-FWS-2020-00724-0003773</v>
      </c>
      <c r="B3774" s="3" t="s">
        <v>5969</v>
      </c>
      <c r="C3774" s="3" t="s">
        <v>3</v>
      </c>
      <c r="D3774" s="3" t="s">
        <v>33</v>
      </c>
      <c r="E3774" s="3" t="s">
        <v>5970</v>
      </c>
      <c r="F3774" s="4">
        <v>43874</v>
      </c>
      <c r="G3774" s="3"/>
      <c r="H3774" s="3"/>
      <c r="I3774" s="3" t="s">
        <v>7043</v>
      </c>
      <c r="J3774" s="3"/>
      <c r="K3774" s="3"/>
      <c r="L3774" s="5"/>
    </row>
    <row r="3775" spans="1:12" ht="28.8" x14ac:dyDescent="0.55000000000000004">
      <c r="A3775" s="9" t="str">
        <f>HYPERLINK("PDF\FOIA-FWS-2020-00724-0003774.pdf","FOIA-FWS-2020-00724-0003774")</f>
        <v>FOIA-FWS-2020-00724-0003774</v>
      </c>
      <c r="B3775" s="3" t="s">
        <v>5971</v>
      </c>
      <c r="C3775" s="3" t="s">
        <v>3</v>
      </c>
      <c r="D3775" s="3" t="s">
        <v>33</v>
      </c>
      <c r="E3775" s="3" t="s">
        <v>5972</v>
      </c>
      <c r="F3775" s="4">
        <v>43874</v>
      </c>
      <c r="G3775" s="3"/>
      <c r="H3775" s="3"/>
      <c r="I3775" s="3" t="s">
        <v>7043</v>
      </c>
      <c r="J3775" s="3"/>
      <c r="K3775" s="3"/>
      <c r="L3775" s="5"/>
    </row>
    <row r="3776" spans="1:12" ht="28.8" x14ac:dyDescent="0.55000000000000004">
      <c r="A3776" s="9" t="str">
        <f>HYPERLINK("PDF\FOIA-FWS-2020-00724-0003775.pdf","FOIA-FWS-2020-00724-0003775")</f>
        <v>FOIA-FWS-2020-00724-0003775</v>
      </c>
      <c r="B3776" s="3" t="s">
        <v>5973</v>
      </c>
      <c r="C3776" s="3" t="s">
        <v>3</v>
      </c>
      <c r="D3776" s="3" t="s">
        <v>4</v>
      </c>
      <c r="E3776" s="3" t="s">
        <v>5974</v>
      </c>
      <c r="F3776" s="4">
        <v>43874</v>
      </c>
      <c r="G3776" s="3"/>
      <c r="H3776" s="3"/>
      <c r="I3776" s="3" t="s">
        <v>7043</v>
      </c>
      <c r="J3776" s="3"/>
      <c r="K3776" s="3"/>
      <c r="L3776" s="5"/>
    </row>
    <row r="3777" spans="1:12" ht="28.8" x14ac:dyDescent="0.55000000000000004">
      <c r="A3777" s="9" t="str">
        <f>HYPERLINK("PDF\FOIA-FWS-2020-00724-0003776.pdf","FOIA-FWS-2020-00724-0003776")</f>
        <v>FOIA-FWS-2020-00724-0003776</v>
      </c>
      <c r="B3777" s="3" t="s">
        <v>5975</v>
      </c>
      <c r="C3777" s="3" t="s">
        <v>3</v>
      </c>
      <c r="D3777" s="3" t="s">
        <v>33</v>
      </c>
      <c r="E3777" s="3" t="s">
        <v>5976</v>
      </c>
      <c r="F3777" s="4">
        <v>43874.353472222225</v>
      </c>
      <c r="G3777" s="3" t="s">
        <v>4043</v>
      </c>
      <c r="H3777" s="3" t="s">
        <v>852</v>
      </c>
      <c r="I3777" s="3" t="s">
        <v>7043</v>
      </c>
      <c r="J3777" s="3"/>
      <c r="K3777" s="3"/>
      <c r="L3777" s="5"/>
    </row>
    <row r="3778" spans="1:12" ht="28.8" x14ac:dyDescent="0.55000000000000004">
      <c r="A3778" s="9" t="str">
        <f>HYPERLINK("PDF\FOIA-FWS-2020-00724-0003777.pdf","FOIA-FWS-2020-00724-0003777")</f>
        <v>FOIA-FWS-2020-00724-0003777</v>
      </c>
      <c r="B3778" s="3" t="s">
        <v>5977</v>
      </c>
      <c r="C3778" s="3" t="s">
        <v>3</v>
      </c>
      <c r="D3778" s="3" t="s">
        <v>33</v>
      </c>
      <c r="E3778" s="3" t="s">
        <v>5978</v>
      </c>
      <c r="F3778" s="4">
        <v>43874.397916666669</v>
      </c>
      <c r="G3778" s="3" t="s">
        <v>872</v>
      </c>
      <c r="H3778" s="3" t="s">
        <v>5881</v>
      </c>
      <c r="I3778" s="3" t="s">
        <v>7043</v>
      </c>
      <c r="J3778" s="3"/>
      <c r="K3778" s="3"/>
      <c r="L3778" s="5"/>
    </row>
    <row r="3779" spans="1:12" ht="28.8" x14ac:dyDescent="0.55000000000000004">
      <c r="A3779" s="9" t="str">
        <f>HYPERLINK("PDF\FOIA-FWS-2020-00724-0003778.pdf","FOIA-FWS-2020-00724-0003778")</f>
        <v>FOIA-FWS-2020-00724-0003778</v>
      </c>
      <c r="B3779" s="3" t="s">
        <v>5977</v>
      </c>
      <c r="C3779" s="3" t="s">
        <v>234</v>
      </c>
      <c r="D3779" s="3" t="s">
        <v>33</v>
      </c>
      <c r="E3779" s="3" t="s">
        <v>5979</v>
      </c>
      <c r="F3779" s="4">
        <v>43874.397916666669</v>
      </c>
      <c r="G3779" s="3"/>
      <c r="H3779" s="3"/>
      <c r="I3779" s="3" t="s">
        <v>7043</v>
      </c>
      <c r="J3779" s="3"/>
      <c r="K3779" s="3"/>
      <c r="L3779" s="5"/>
    </row>
    <row r="3780" spans="1:12" ht="28.8" x14ac:dyDescent="0.55000000000000004">
      <c r="A3780" s="9" t="str">
        <f>HYPERLINK("PDF\FOIA-FWS-2020-00724-0003779.pdf","FOIA-FWS-2020-00724-0003779")</f>
        <v>FOIA-FWS-2020-00724-0003779</v>
      </c>
      <c r="B3780" s="3" t="s">
        <v>5980</v>
      </c>
      <c r="C3780" s="3" t="s">
        <v>3</v>
      </c>
      <c r="D3780" s="3" t="s">
        <v>33</v>
      </c>
      <c r="E3780" s="3" t="s">
        <v>5283</v>
      </c>
      <c r="F3780" s="4">
        <v>43874.467361111114</v>
      </c>
      <c r="G3780" s="3" t="s">
        <v>945</v>
      </c>
      <c r="H3780" s="3" t="s">
        <v>5981</v>
      </c>
      <c r="I3780" s="3" t="s">
        <v>7043</v>
      </c>
      <c r="J3780" s="3"/>
      <c r="K3780" s="3"/>
      <c r="L3780" s="5"/>
    </row>
    <row r="3781" spans="1:12" ht="28.8" x14ac:dyDescent="0.55000000000000004">
      <c r="A3781" s="9" t="str">
        <f>HYPERLINK("PDF\FOIA-FWS-2020-00724-0003780.pdf","FOIA-FWS-2020-00724-0003780")</f>
        <v>FOIA-FWS-2020-00724-0003780</v>
      </c>
      <c r="B3781" s="3" t="s">
        <v>5982</v>
      </c>
      <c r="C3781" s="3" t="s">
        <v>3</v>
      </c>
      <c r="D3781" s="3" t="s">
        <v>33</v>
      </c>
      <c r="E3781" s="3" t="s">
        <v>5983</v>
      </c>
      <c r="F3781" s="4">
        <v>43874.46875</v>
      </c>
      <c r="G3781" s="3" t="s">
        <v>872</v>
      </c>
      <c r="H3781" s="3" t="s">
        <v>5921</v>
      </c>
      <c r="I3781" s="3" t="s">
        <v>7043</v>
      </c>
      <c r="J3781" s="3"/>
      <c r="K3781" s="3"/>
      <c r="L3781" s="5"/>
    </row>
    <row r="3782" spans="1:12" ht="28.8" x14ac:dyDescent="0.55000000000000004">
      <c r="A3782" s="9" t="str">
        <f>HYPERLINK("PDF\FOIA-FWS-2020-00724-0003781.pdf","FOIA-FWS-2020-00724-0003781")</f>
        <v>FOIA-FWS-2020-00724-0003781</v>
      </c>
      <c r="B3782" s="3" t="s">
        <v>5982</v>
      </c>
      <c r="C3782" s="3" t="s">
        <v>234</v>
      </c>
      <c r="D3782" s="3" t="s">
        <v>33</v>
      </c>
      <c r="E3782" s="3" t="s">
        <v>5979</v>
      </c>
      <c r="F3782" s="4">
        <v>43874.46875</v>
      </c>
      <c r="G3782" s="3"/>
      <c r="H3782" s="3"/>
      <c r="I3782" s="3" t="s">
        <v>7043</v>
      </c>
      <c r="J3782" s="3"/>
      <c r="K3782" s="3"/>
      <c r="L3782" s="5"/>
    </row>
    <row r="3783" spans="1:12" ht="28.8" x14ac:dyDescent="0.55000000000000004">
      <c r="A3783" s="9" t="str">
        <f>HYPERLINK("PDF\FOIA-FWS-2020-00724-0003782.pdf","FOIA-FWS-2020-00724-0003782")</f>
        <v>FOIA-FWS-2020-00724-0003782</v>
      </c>
      <c r="B3783" s="3" t="s">
        <v>5984</v>
      </c>
      <c r="C3783" s="3" t="s">
        <v>3</v>
      </c>
      <c r="D3783" s="3" t="s">
        <v>33</v>
      </c>
      <c r="E3783" s="3" t="s">
        <v>5890</v>
      </c>
      <c r="F3783" s="4">
        <v>43874.481944444444</v>
      </c>
      <c r="G3783" s="3" t="s">
        <v>1119</v>
      </c>
      <c r="H3783" s="3" t="s">
        <v>872</v>
      </c>
      <c r="I3783" s="3" t="s">
        <v>7043</v>
      </c>
      <c r="J3783" s="3"/>
      <c r="K3783" s="3"/>
      <c r="L3783" s="5"/>
    </row>
    <row r="3784" spans="1:12" ht="28.8" x14ac:dyDescent="0.55000000000000004">
      <c r="A3784" s="9" t="str">
        <f>HYPERLINK("PDF\FOIA-FWS-2020-00724-0003783.pdf","FOIA-FWS-2020-00724-0003783")</f>
        <v>FOIA-FWS-2020-00724-0003783</v>
      </c>
      <c r="B3784" s="3" t="s">
        <v>5985</v>
      </c>
      <c r="C3784" s="3" t="s">
        <v>3</v>
      </c>
      <c r="D3784" s="3" t="s">
        <v>33</v>
      </c>
      <c r="E3784" s="3" t="s">
        <v>5983</v>
      </c>
      <c r="F3784" s="4">
        <v>43874.495833333334</v>
      </c>
      <c r="G3784" s="3" t="s">
        <v>1119</v>
      </c>
      <c r="H3784" s="3" t="s">
        <v>3061</v>
      </c>
      <c r="I3784" s="3" t="s">
        <v>7043</v>
      </c>
      <c r="J3784" s="3"/>
      <c r="K3784" s="3"/>
      <c r="L3784" s="5"/>
    </row>
    <row r="3785" spans="1:12" ht="28.8" x14ac:dyDescent="0.55000000000000004">
      <c r="A3785" s="9" t="str">
        <f>HYPERLINK("PDF\FOIA-FWS-2020-00724-0003784.pdf","FOIA-FWS-2020-00724-0003784")</f>
        <v>FOIA-FWS-2020-00724-0003784</v>
      </c>
      <c r="B3785" s="3" t="s">
        <v>5985</v>
      </c>
      <c r="C3785" s="3" t="s">
        <v>234</v>
      </c>
      <c r="D3785" s="3" t="s">
        <v>33</v>
      </c>
      <c r="E3785" s="3" t="s">
        <v>5986</v>
      </c>
      <c r="F3785" s="4">
        <v>43874.495833333334</v>
      </c>
      <c r="G3785" s="3"/>
      <c r="H3785" s="3"/>
      <c r="I3785" s="3" t="s">
        <v>7043</v>
      </c>
      <c r="J3785" s="3"/>
      <c r="K3785" s="3"/>
      <c r="L3785" s="5"/>
    </row>
    <row r="3786" spans="1:12" ht="28.8" x14ac:dyDescent="0.55000000000000004">
      <c r="A3786" s="9" t="str">
        <f>HYPERLINK("PDF\FOIA-FWS-2020-00724-0003785.pdf","FOIA-FWS-2020-00724-0003785")</f>
        <v>FOIA-FWS-2020-00724-0003785</v>
      </c>
      <c r="B3786" s="3" t="s">
        <v>5987</v>
      </c>
      <c r="C3786" s="3" t="s">
        <v>3</v>
      </c>
      <c r="D3786" s="3" t="s">
        <v>33</v>
      </c>
      <c r="E3786" s="3" t="s">
        <v>5983</v>
      </c>
      <c r="F3786" s="4">
        <v>43874.527083333334</v>
      </c>
      <c r="G3786" s="3" t="s">
        <v>1119</v>
      </c>
      <c r="H3786" s="3" t="s">
        <v>872</v>
      </c>
      <c r="I3786" s="3" t="s">
        <v>7043</v>
      </c>
      <c r="J3786" s="3"/>
      <c r="K3786" s="3"/>
      <c r="L3786" s="5"/>
    </row>
    <row r="3787" spans="1:12" ht="72" x14ac:dyDescent="0.55000000000000004">
      <c r="A3787" s="9" t="str">
        <f>HYPERLINK("PDF\FOIA-FWS-2020-00724-0003786.pdf","FOIA-FWS-2020-00724-0003786")</f>
        <v>FOIA-FWS-2020-00724-0003786</v>
      </c>
      <c r="B3787" s="3" t="s">
        <v>5988</v>
      </c>
      <c r="C3787" s="3" t="s">
        <v>3</v>
      </c>
      <c r="D3787" s="3" t="s">
        <v>33</v>
      </c>
      <c r="E3787" s="3" t="s">
        <v>5990</v>
      </c>
      <c r="F3787" s="4">
        <v>43874.548611111109</v>
      </c>
      <c r="G3787" s="3" t="s">
        <v>1392</v>
      </c>
      <c r="H3787" s="3" t="s">
        <v>5989</v>
      </c>
      <c r="I3787" s="3" t="s">
        <v>7043</v>
      </c>
      <c r="J3787" s="3"/>
      <c r="K3787" s="3"/>
      <c r="L3787" s="5"/>
    </row>
    <row r="3788" spans="1:12" ht="28.8" x14ac:dyDescent="0.55000000000000004">
      <c r="A3788" s="9" t="str">
        <f>HYPERLINK("PDF\FOIA-FWS-2020-00724-0003787.pdf","FOIA-FWS-2020-00724-0003787")</f>
        <v>FOIA-FWS-2020-00724-0003787</v>
      </c>
      <c r="B3788" s="3" t="s">
        <v>5991</v>
      </c>
      <c r="C3788" s="3" t="s">
        <v>3</v>
      </c>
      <c r="D3788" s="3" t="s">
        <v>33</v>
      </c>
      <c r="E3788" s="3" t="s">
        <v>5983</v>
      </c>
      <c r="F3788" s="4">
        <v>43874.558333333334</v>
      </c>
      <c r="G3788" s="3" t="s">
        <v>872</v>
      </c>
      <c r="H3788" s="3" t="s">
        <v>5881</v>
      </c>
      <c r="I3788" s="3" t="s">
        <v>7043</v>
      </c>
      <c r="J3788" s="3"/>
      <c r="K3788" s="3"/>
      <c r="L3788" s="5"/>
    </row>
    <row r="3789" spans="1:12" ht="28.8" x14ac:dyDescent="0.55000000000000004">
      <c r="A3789" s="9" t="str">
        <f>HYPERLINK("PDF\FOIA-FWS-2020-00724-0003788.pdf","FOIA-FWS-2020-00724-0003788")</f>
        <v>FOIA-FWS-2020-00724-0003788</v>
      </c>
      <c r="B3789" s="3" t="s">
        <v>5991</v>
      </c>
      <c r="C3789" s="3" t="s">
        <v>234</v>
      </c>
      <c r="D3789" s="3" t="s">
        <v>33</v>
      </c>
      <c r="E3789" s="3" t="s">
        <v>5992</v>
      </c>
      <c r="F3789" s="4">
        <v>43874.558333333334</v>
      </c>
      <c r="G3789" s="3"/>
      <c r="H3789" s="3"/>
      <c r="I3789" s="3" t="s">
        <v>7043</v>
      </c>
      <c r="J3789" s="3"/>
      <c r="K3789" s="3"/>
      <c r="L3789" s="5"/>
    </row>
    <row r="3790" spans="1:12" ht="28.8" x14ac:dyDescent="0.55000000000000004">
      <c r="A3790" s="9" t="str">
        <f>HYPERLINK("PDF\FOIA-FWS-2020-00724-0003789.pdf","FOIA-FWS-2020-00724-0003789")</f>
        <v>FOIA-FWS-2020-00724-0003789</v>
      </c>
      <c r="B3790" s="3" t="s">
        <v>5993</v>
      </c>
      <c r="C3790" s="3" t="s">
        <v>3</v>
      </c>
      <c r="D3790" s="3" t="s">
        <v>33</v>
      </c>
      <c r="E3790" s="3" t="s">
        <v>5983</v>
      </c>
      <c r="F3790" s="4">
        <v>43874.57916666667</v>
      </c>
      <c r="G3790" s="3" t="s">
        <v>1119</v>
      </c>
      <c r="H3790" s="3" t="s">
        <v>872</v>
      </c>
      <c r="I3790" s="3" t="s">
        <v>7043</v>
      </c>
      <c r="J3790" s="3"/>
      <c r="K3790" s="3"/>
      <c r="L3790" s="5"/>
    </row>
    <row r="3791" spans="1:12" ht="28.8" x14ac:dyDescent="0.55000000000000004">
      <c r="A3791" s="9" t="str">
        <f>HYPERLINK("PDF\FOIA-FWS-2020-00724-0003790.pdf","FOIA-FWS-2020-00724-0003790")</f>
        <v>FOIA-FWS-2020-00724-0003790</v>
      </c>
      <c r="B3791" s="3" t="s">
        <v>5993</v>
      </c>
      <c r="C3791" s="3" t="s">
        <v>234</v>
      </c>
      <c r="D3791" s="3" t="s">
        <v>33</v>
      </c>
      <c r="E3791" s="3" t="s">
        <v>5994</v>
      </c>
      <c r="F3791" s="4">
        <v>43874.57916666667</v>
      </c>
      <c r="G3791" s="3"/>
      <c r="H3791" s="3"/>
      <c r="I3791" s="3" t="s">
        <v>7043</v>
      </c>
      <c r="J3791" s="3"/>
      <c r="K3791" s="3"/>
      <c r="L3791" s="5"/>
    </row>
    <row r="3792" spans="1:12" ht="28.8" x14ac:dyDescent="0.55000000000000004">
      <c r="A3792" s="9" t="str">
        <f>HYPERLINK("PDF\FOIA-FWS-2020-00724-0003791.pdf","FOIA-FWS-2020-00724-0003791")</f>
        <v>FOIA-FWS-2020-00724-0003791</v>
      </c>
      <c r="B3792" s="3" t="s">
        <v>5995</v>
      </c>
      <c r="C3792" s="3" t="s">
        <v>3</v>
      </c>
      <c r="D3792" s="3" t="s">
        <v>33</v>
      </c>
      <c r="E3792" s="3" t="s">
        <v>5964</v>
      </c>
      <c r="F3792" s="4">
        <v>43874.619444444441</v>
      </c>
      <c r="G3792" s="3" t="s">
        <v>872</v>
      </c>
      <c r="H3792" s="3" t="s">
        <v>5881</v>
      </c>
      <c r="I3792" s="3" t="s">
        <v>7043</v>
      </c>
      <c r="J3792" s="3"/>
      <c r="K3792" s="3"/>
      <c r="L3792" s="5"/>
    </row>
    <row r="3793" spans="1:12" ht="28.8" x14ac:dyDescent="0.55000000000000004">
      <c r="A3793" s="9" t="str">
        <f>HYPERLINK("PDF\FOIA-FWS-2020-00724-0003792.pdf","FOIA-FWS-2020-00724-0003792")</f>
        <v>FOIA-FWS-2020-00724-0003792</v>
      </c>
      <c r="B3793" s="3" t="s">
        <v>5995</v>
      </c>
      <c r="C3793" s="3" t="s">
        <v>234</v>
      </c>
      <c r="D3793" s="3" t="s">
        <v>4</v>
      </c>
      <c r="E3793" s="3" t="s">
        <v>5996</v>
      </c>
      <c r="F3793" s="4">
        <v>43874.619444444441</v>
      </c>
      <c r="G3793" s="3"/>
      <c r="H3793" s="3"/>
      <c r="I3793" s="3" t="s">
        <v>7043</v>
      </c>
      <c r="J3793" s="3"/>
      <c r="K3793" s="3"/>
      <c r="L3793" s="5"/>
    </row>
    <row r="3794" spans="1:12" ht="43.2" x14ac:dyDescent="0.55000000000000004">
      <c r="A3794" s="9" t="str">
        <f>HYPERLINK("PDF\FOIA-FWS-2020-00724-0003793.pdf","FOIA-FWS-2020-00724-0003793")</f>
        <v>FOIA-FWS-2020-00724-0003793</v>
      </c>
      <c r="B3794" s="3" t="s">
        <v>5997</v>
      </c>
      <c r="C3794" s="3" t="s">
        <v>3</v>
      </c>
      <c r="D3794" s="3" t="s">
        <v>33</v>
      </c>
      <c r="E3794" s="3" t="s">
        <v>5999</v>
      </c>
      <c r="F3794" s="4">
        <v>43874.663888888892</v>
      </c>
      <c r="G3794" s="3" t="s">
        <v>2081</v>
      </c>
      <c r="H3794" s="3" t="s">
        <v>5998</v>
      </c>
      <c r="I3794" s="3" t="s">
        <v>7044</v>
      </c>
      <c r="J3794" s="3" t="s">
        <v>7046</v>
      </c>
      <c r="K3794" s="3" t="s">
        <v>7036</v>
      </c>
      <c r="L3794" s="5"/>
    </row>
    <row r="3795" spans="1:12" ht="28.8" x14ac:dyDescent="0.55000000000000004">
      <c r="A3795" s="9" t="str">
        <f>HYPERLINK("PDF\FOIA-FWS-2020-00724-0003794.pdf","FOIA-FWS-2020-00724-0003794")</f>
        <v>FOIA-FWS-2020-00724-0003794</v>
      </c>
      <c r="B3795" s="3" t="s">
        <v>6000</v>
      </c>
      <c r="C3795" s="3" t="s">
        <v>3</v>
      </c>
      <c r="D3795" s="3" t="s">
        <v>33</v>
      </c>
      <c r="E3795" s="3" t="s">
        <v>6001</v>
      </c>
      <c r="F3795" s="4">
        <v>43874.710416666669</v>
      </c>
      <c r="G3795" s="3" t="s">
        <v>872</v>
      </c>
      <c r="H3795" s="3" t="s">
        <v>919</v>
      </c>
      <c r="I3795" s="3" t="s">
        <v>7043</v>
      </c>
      <c r="J3795" s="3"/>
      <c r="K3795" s="3"/>
      <c r="L3795" s="5"/>
    </row>
    <row r="3796" spans="1:12" ht="28.8" x14ac:dyDescent="0.55000000000000004">
      <c r="A3796" s="9" t="str">
        <f>HYPERLINK("PDF\FOIA-FWS-2020-00724-0003795.pdf","FOIA-FWS-2020-00724-0003795")</f>
        <v>FOIA-FWS-2020-00724-0003795</v>
      </c>
      <c r="B3796" s="3" t="s">
        <v>6000</v>
      </c>
      <c r="C3796" s="3" t="s">
        <v>234</v>
      </c>
      <c r="D3796" s="3" t="s">
        <v>4</v>
      </c>
      <c r="E3796" s="3" t="s">
        <v>1756</v>
      </c>
      <c r="F3796" s="4">
        <v>43874.710416666669</v>
      </c>
      <c r="G3796" s="3" t="s">
        <v>6002</v>
      </c>
      <c r="H3796" s="3"/>
      <c r="I3796" s="3" t="s">
        <v>7043</v>
      </c>
      <c r="J3796" s="3"/>
      <c r="K3796" s="3"/>
      <c r="L3796" s="5"/>
    </row>
    <row r="3797" spans="1:12" ht="28.8" x14ac:dyDescent="0.55000000000000004">
      <c r="A3797" s="9" t="str">
        <f>HYPERLINK("PDF\FOIA-FWS-2020-00724-0003796.pdf","FOIA-FWS-2020-00724-0003796")</f>
        <v>FOIA-FWS-2020-00724-0003796</v>
      </c>
      <c r="B3797" s="3" t="s">
        <v>6000</v>
      </c>
      <c r="C3797" s="3" t="s">
        <v>234</v>
      </c>
      <c r="D3797" s="3" t="s">
        <v>4</v>
      </c>
      <c r="E3797" s="3" t="s">
        <v>6003</v>
      </c>
      <c r="F3797" s="4">
        <v>43874.710416666669</v>
      </c>
      <c r="G3797" s="3" t="s">
        <v>6002</v>
      </c>
      <c r="H3797" s="3"/>
      <c r="I3797" s="3" t="s">
        <v>7043</v>
      </c>
      <c r="J3797" s="3"/>
      <c r="K3797" s="3"/>
      <c r="L3797" s="5"/>
    </row>
    <row r="3798" spans="1:12" ht="28.8" x14ac:dyDescent="0.55000000000000004">
      <c r="A3798" s="9" t="str">
        <f>HYPERLINK("PDF\FOIA-FWS-2020-00724-0003797.pdf","FOIA-FWS-2020-00724-0003797")</f>
        <v>FOIA-FWS-2020-00724-0003797</v>
      </c>
      <c r="B3798" s="3" t="s">
        <v>6000</v>
      </c>
      <c r="C3798" s="3" t="s">
        <v>234</v>
      </c>
      <c r="D3798" s="3" t="s">
        <v>4</v>
      </c>
      <c r="E3798" s="3" t="s">
        <v>6004</v>
      </c>
      <c r="F3798" s="4">
        <v>43874.710416666669</v>
      </c>
      <c r="G3798" s="3" t="s">
        <v>6002</v>
      </c>
      <c r="H3798" s="3"/>
      <c r="I3798" s="3" t="s">
        <v>7043</v>
      </c>
      <c r="J3798" s="3"/>
      <c r="K3798" s="3"/>
      <c r="L3798" s="5"/>
    </row>
    <row r="3799" spans="1:12" ht="28.8" x14ac:dyDescent="0.55000000000000004">
      <c r="A3799" s="9" t="str">
        <f>HYPERLINK("PDF\FOIA-FWS-2020-00724-0003798.pdf","FOIA-FWS-2020-00724-0003798")</f>
        <v>FOIA-FWS-2020-00724-0003798</v>
      </c>
      <c r="B3799" s="3" t="s">
        <v>6005</v>
      </c>
      <c r="C3799" s="3" t="s">
        <v>3</v>
      </c>
      <c r="D3799" s="3" t="s">
        <v>33</v>
      </c>
      <c r="E3799" s="3" t="s">
        <v>6006</v>
      </c>
      <c r="F3799" s="4">
        <v>43874.720138888886</v>
      </c>
      <c r="G3799" s="3" t="s">
        <v>963</v>
      </c>
      <c r="H3799" s="3" t="s">
        <v>1332</v>
      </c>
      <c r="I3799" s="3" t="s">
        <v>7043</v>
      </c>
      <c r="J3799" s="3"/>
      <c r="K3799" s="3"/>
      <c r="L3799" s="5"/>
    </row>
    <row r="3800" spans="1:12" ht="28.8" x14ac:dyDescent="0.55000000000000004">
      <c r="A3800" s="9" t="str">
        <f>HYPERLINK("PDF\FOIA-FWS-2020-00724-0003799.pdf","FOIA-FWS-2020-00724-0003799")</f>
        <v>FOIA-FWS-2020-00724-0003799</v>
      </c>
      <c r="B3800" s="3" t="s">
        <v>6007</v>
      </c>
      <c r="C3800" s="3" t="s">
        <v>3</v>
      </c>
      <c r="D3800" s="3" t="s">
        <v>33</v>
      </c>
      <c r="E3800" s="3" t="s">
        <v>6008</v>
      </c>
      <c r="F3800" s="4">
        <v>43874.720833333333</v>
      </c>
      <c r="G3800" s="3" t="s">
        <v>1874</v>
      </c>
      <c r="H3800" s="3" t="s">
        <v>872</v>
      </c>
      <c r="I3800" s="3" t="s">
        <v>7043</v>
      </c>
      <c r="J3800" s="3"/>
      <c r="K3800" s="3"/>
      <c r="L3800" s="5"/>
    </row>
    <row r="3801" spans="1:12" ht="28.8" x14ac:dyDescent="0.55000000000000004">
      <c r="A3801" s="9" t="str">
        <f>HYPERLINK("PDF\FOIA-FWS-2020-00724-0003800.pdf","FOIA-FWS-2020-00724-0003800")</f>
        <v>FOIA-FWS-2020-00724-0003800</v>
      </c>
      <c r="B3801" s="3" t="s">
        <v>6009</v>
      </c>
      <c r="C3801" s="3" t="s">
        <v>3</v>
      </c>
      <c r="D3801" s="3" t="s">
        <v>33</v>
      </c>
      <c r="E3801" s="3" t="s">
        <v>5688</v>
      </c>
      <c r="F3801" s="4">
        <v>43875</v>
      </c>
      <c r="G3801" s="3"/>
      <c r="H3801" s="3"/>
      <c r="I3801" s="3" t="s">
        <v>7043</v>
      </c>
      <c r="J3801" s="3"/>
      <c r="K3801" s="3"/>
      <c r="L3801" s="5"/>
    </row>
    <row r="3802" spans="1:12" ht="28.8" x14ac:dyDescent="0.55000000000000004">
      <c r="A3802" s="9" t="str">
        <f>HYPERLINK("PDF\FOIA-FWS-2020-00724-0003801.pdf","FOIA-FWS-2020-00724-0003801")</f>
        <v>FOIA-FWS-2020-00724-0003801</v>
      </c>
      <c r="B3802" s="3" t="s">
        <v>6010</v>
      </c>
      <c r="C3802" s="3" t="s">
        <v>3</v>
      </c>
      <c r="D3802" s="3" t="s">
        <v>33</v>
      </c>
      <c r="E3802" s="3" t="s">
        <v>6011</v>
      </c>
      <c r="F3802" s="4">
        <v>43875.478472222225</v>
      </c>
      <c r="G3802" s="3" t="s">
        <v>872</v>
      </c>
      <c r="H3802" s="3" t="s">
        <v>5881</v>
      </c>
      <c r="I3802" s="3" t="s">
        <v>7043</v>
      </c>
      <c r="J3802" s="3"/>
      <c r="K3802" s="3"/>
      <c r="L3802" s="5"/>
    </row>
    <row r="3803" spans="1:12" ht="28.8" x14ac:dyDescent="0.55000000000000004">
      <c r="A3803" s="9" t="str">
        <f>HYPERLINK("PDF\FOIA-FWS-2020-00724-0003802.pdf","FOIA-FWS-2020-00724-0003802")</f>
        <v>FOIA-FWS-2020-00724-0003802</v>
      </c>
      <c r="B3803" s="3" t="s">
        <v>6012</v>
      </c>
      <c r="C3803" s="3" t="s">
        <v>3</v>
      </c>
      <c r="D3803" s="3" t="s">
        <v>33</v>
      </c>
      <c r="E3803" s="3" t="s">
        <v>6013</v>
      </c>
      <c r="F3803" s="4">
        <v>43875.500694444447</v>
      </c>
      <c r="G3803" s="3" t="s">
        <v>872</v>
      </c>
      <c r="H3803" s="3" t="s">
        <v>5921</v>
      </c>
      <c r="I3803" s="3" t="s">
        <v>7043</v>
      </c>
      <c r="J3803" s="3"/>
      <c r="K3803" s="3"/>
      <c r="L3803" s="5"/>
    </row>
    <row r="3804" spans="1:12" ht="28.8" x14ac:dyDescent="0.55000000000000004">
      <c r="A3804" s="9" t="str">
        <f>HYPERLINK("PDF\FOIA-FWS-2020-00724-0003803.pdf","FOIA-FWS-2020-00724-0003803")</f>
        <v>FOIA-FWS-2020-00724-0003803</v>
      </c>
      <c r="B3804" s="3" t="s">
        <v>6014</v>
      </c>
      <c r="C3804" s="3" t="s">
        <v>3</v>
      </c>
      <c r="D3804" s="3" t="s">
        <v>33</v>
      </c>
      <c r="E3804" s="3" t="s">
        <v>6016</v>
      </c>
      <c r="F3804" s="4">
        <v>43875.560416666667</v>
      </c>
      <c r="G3804" s="3" t="s">
        <v>5800</v>
      </c>
      <c r="H3804" s="3" t="s">
        <v>6015</v>
      </c>
      <c r="I3804" s="3" t="s">
        <v>864</v>
      </c>
      <c r="J3804" s="3" t="s">
        <v>7046</v>
      </c>
      <c r="K3804" s="3" t="s">
        <v>7036</v>
      </c>
      <c r="L3804" s="5"/>
    </row>
    <row r="3805" spans="1:12" ht="28.8" x14ac:dyDescent="0.55000000000000004">
      <c r="A3805" s="9" t="str">
        <f>HYPERLINK("PDF\FOIA-FWS-2020-00724-0003804.pdf","FOIA-FWS-2020-00724-0003804")</f>
        <v>FOIA-FWS-2020-00724-0003804</v>
      </c>
      <c r="B3805" s="3" t="s">
        <v>6017</v>
      </c>
      <c r="C3805" s="3" t="s">
        <v>3</v>
      </c>
      <c r="D3805" s="3" t="s">
        <v>33</v>
      </c>
      <c r="E3805" s="3" t="s">
        <v>6018</v>
      </c>
      <c r="F3805" s="4">
        <v>43875.561805555553</v>
      </c>
      <c r="G3805" s="3" t="s">
        <v>5800</v>
      </c>
      <c r="H3805" s="3" t="s">
        <v>945</v>
      </c>
      <c r="I3805" s="3" t="s">
        <v>7043</v>
      </c>
      <c r="J3805" s="3"/>
      <c r="K3805" s="3"/>
      <c r="L3805" s="5"/>
    </row>
    <row r="3806" spans="1:12" ht="28.8" x14ac:dyDescent="0.55000000000000004">
      <c r="A3806" s="9" t="str">
        <f>HYPERLINK("PDF\FOIA-FWS-2020-00724-0003805.pdf","FOIA-FWS-2020-00724-0003805")</f>
        <v>FOIA-FWS-2020-00724-0003805</v>
      </c>
      <c r="B3806" s="3" t="s">
        <v>6017</v>
      </c>
      <c r="C3806" s="3" t="s">
        <v>234</v>
      </c>
      <c r="D3806" s="3" t="s">
        <v>33</v>
      </c>
      <c r="E3806" s="3" t="s">
        <v>6019</v>
      </c>
      <c r="F3806" s="4">
        <v>43875.561805555553</v>
      </c>
      <c r="G3806" s="3"/>
      <c r="H3806" s="3"/>
      <c r="I3806" s="3" t="s">
        <v>7043</v>
      </c>
      <c r="J3806" s="3"/>
      <c r="K3806" s="3"/>
      <c r="L3806" s="5"/>
    </row>
    <row r="3807" spans="1:12" ht="28.8" x14ac:dyDescent="0.55000000000000004">
      <c r="A3807" s="9" t="str">
        <f>HYPERLINK("PDF\FOIA-FWS-2020-00724-0003806.pdf","FOIA-FWS-2020-00724-0003806")</f>
        <v>FOIA-FWS-2020-00724-0003806</v>
      </c>
      <c r="B3807" s="3" t="s">
        <v>6020</v>
      </c>
      <c r="C3807" s="3" t="s">
        <v>3</v>
      </c>
      <c r="D3807" s="3" t="s">
        <v>33</v>
      </c>
      <c r="E3807" s="3" t="s">
        <v>6021</v>
      </c>
      <c r="F3807" s="4">
        <v>43875.565972222219</v>
      </c>
      <c r="G3807" s="3" t="s">
        <v>872</v>
      </c>
      <c r="H3807" s="3" t="s">
        <v>5921</v>
      </c>
      <c r="I3807" s="3" t="s">
        <v>7043</v>
      </c>
      <c r="J3807" s="3"/>
      <c r="K3807" s="3"/>
      <c r="L3807" s="5"/>
    </row>
    <row r="3808" spans="1:12" ht="28.8" x14ac:dyDescent="0.55000000000000004">
      <c r="A3808" s="9" t="str">
        <f>HYPERLINK("PDF\FOIA-FWS-2020-00724-0003807.pdf","FOIA-FWS-2020-00724-0003807")</f>
        <v>FOIA-FWS-2020-00724-0003807</v>
      </c>
      <c r="B3808" s="3" t="s">
        <v>6022</v>
      </c>
      <c r="C3808" s="3" t="s">
        <v>3</v>
      </c>
      <c r="D3808" s="3" t="s">
        <v>33</v>
      </c>
      <c r="E3808" s="3" t="s">
        <v>6024</v>
      </c>
      <c r="F3808" s="4">
        <v>43875.588194444441</v>
      </c>
      <c r="G3808" s="3" t="s">
        <v>1392</v>
      </c>
      <c r="H3808" s="3" t="s">
        <v>6023</v>
      </c>
      <c r="I3808" s="3" t="s">
        <v>7043</v>
      </c>
      <c r="J3808" s="3"/>
      <c r="K3808" s="3"/>
      <c r="L3808" s="5"/>
    </row>
    <row r="3809" spans="1:12" ht="28.8" x14ac:dyDescent="0.55000000000000004">
      <c r="A3809" s="9" t="str">
        <f>HYPERLINK("PDF\FOIA-FWS-2020-00724-0003808.pdf","FOIA-FWS-2020-00724-0003808")</f>
        <v>FOIA-FWS-2020-00724-0003808</v>
      </c>
      <c r="B3809" s="3" t="s">
        <v>6022</v>
      </c>
      <c r="C3809" s="3" t="s">
        <v>234</v>
      </c>
      <c r="D3809" s="3" t="s">
        <v>33</v>
      </c>
      <c r="E3809" s="3" t="s">
        <v>6025</v>
      </c>
      <c r="F3809" s="4">
        <v>43875.588194444441</v>
      </c>
      <c r="G3809" s="3"/>
      <c r="H3809" s="3"/>
      <c r="I3809" s="3" t="s">
        <v>7043</v>
      </c>
      <c r="J3809" s="3"/>
      <c r="K3809" s="3"/>
      <c r="L3809" s="5"/>
    </row>
    <row r="3810" spans="1:12" ht="28.8" x14ac:dyDescent="0.55000000000000004">
      <c r="A3810" s="9" t="str">
        <f>HYPERLINK("PDF\FOIA-FWS-2020-00724-0003809.pdf","FOIA-FWS-2020-00724-0003809")</f>
        <v>FOIA-FWS-2020-00724-0003809</v>
      </c>
      <c r="B3810" s="3" t="s">
        <v>6026</v>
      </c>
      <c r="C3810" s="3" t="s">
        <v>3</v>
      </c>
      <c r="D3810" s="3" t="s">
        <v>33</v>
      </c>
      <c r="E3810" s="3" t="s">
        <v>6028</v>
      </c>
      <c r="F3810" s="4">
        <v>43875.611111111109</v>
      </c>
      <c r="G3810" s="3" t="s">
        <v>6027</v>
      </c>
      <c r="H3810" s="3" t="s">
        <v>5741</v>
      </c>
      <c r="I3810" s="3" t="s">
        <v>7043</v>
      </c>
      <c r="J3810" s="3"/>
      <c r="K3810" s="3"/>
      <c r="L3810" s="5"/>
    </row>
    <row r="3811" spans="1:12" ht="28.8" x14ac:dyDescent="0.55000000000000004">
      <c r="A3811" s="9" t="str">
        <f>HYPERLINK("PDF\FOIA-FWS-2020-00724-0003810.pdf","FOIA-FWS-2020-00724-0003810")</f>
        <v>FOIA-FWS-2020-00724-0003810</v>
      </c>
      <c r="B3811" s="3" t="s">
        <v>6029</v>
      </c>
      <c r="C3811" s="3" t="s">
        <v>3</v>
      </c>
      <c r="D3811" s="3" t="s">
        <v>33</v>
      </c>
      <c r="E3811" s="3" t="s">
        <v>6030</v>
      </c>
      <c r="F3811" s="4">
        <v>43875.630555555559</v>
      </c>
      <c r="G3811" s="3" t="s">
        <v>945</v>
      </c>
      <c r="H3811" s="3" t="s">
        <v>5800</v>
      </c>
      <c r="I3811" s="3" t="s">
        <v>7043</v>
      </c>
      <c r="J3811" s="3"/>
      <c r="K3811" s="3"/>
      <c r="L3811" s="5"/>
    </row>
    <row r="3812" spans="1:12" ht="28.8" x14ac:dyDescent="0.55000000000000004">
      <c r="A3812" s="9" t="str">
        <f>HYPERLINK("PDF\FOIA-FWS-2020-00724-0003811.pdf","FOIA-FWS-2020-00724-0003811")</f>
        <v>FOIA-FWS-2020-00724-0003811</v>
      </c>
      <c r="B3812" s="3" t="s">
        <v>6029</v>
      </c>
      <c r="C3812" s="3" t="s">
        <v>234</v>
      </c>
      <c r="D3812" s="3" t="s">
        <v>33</v>
      </c>
      <c r="E3812" s="3" t="s">
        <v>6031</v>
      </c>
      <c r="F3812" s="4">
        <v>43875.630555555559</v>
      </c>
      <c r="G3812" s="3"/>
      <c r="H3812" s="3"/>
      <c r="I3812" s="3" t="s">
        <v>7043</v>
      </c>
      <c r="J3812" s="3"/>
      <c r="K3812" s="3"/>
      <c r="L3812" s="5"/>
    </row>
    <row r="3813" spans="1:12" ht="28.8" x14ac:dyDescent="0.55000000000000004">
      <c r="A3813" s="9" t="str">
        <f>HYPERLINK("PDF\FOIA-FWS-2020-00724-0003812.pdf","FOIA-FWS-2020-00724-0003812")</f>
        <v>FOIA-FWS-2020-00724-0003812</v>
      </c>
      <c r="B3813" s="3" t="s">
        <v>6032</v>
      </c>
      <c r="C3813" s="3" t="s">
        <v>3</v>
      </c>
      <c r="D3813" s="3" t="s">
        <v>33</v>
      </c>
      <c r="E3813" s="3" t="s">
        <v>6033</v>
      </c>
      <c r="F3813" s="4">
        <v>43875.643055555556</v>
      </c>
      <c r="G3813" s="3" t="s">
        <v>5741</v>
      </c>
      <c r="H3813" s="3" t="s">
        <v>6027</v>
      </c>
      <c r="I3813" s="3" t="s">
        <v>7043</v>
      </c>
      <c r="J3813" s="3"/>
      <c r="K3813" s="3"/>
      <c r="L3813" s="5"/>
    </row>
    <row r="3814" spans="1:12" ht="28.8" x14ac:dyDescent="0.55000000000000004">
      <c r="A3814" s="9" t="str">
        <f>HYPERLINK("PDF\FOIA-FWS-2020-00724-0003813.pdf","FOIA-FWS-2020-00724-0003813")</f>
        <v>FOIA-FWS-2020-00724-0003813</v>
      </c>
      <c r="B3814" s="3" t="s">
        <v>6034</v>
      </c>
      <c r="C3814" s="3" t="s">
        <v>3</v>
      </c>
      <c r="D3814" s="3" t="s">
        <v>33</v>
      </c>
      <c r="E3814" s="3" t="s">
        <v>6033</v>
      </c>
      <c r="F3814" s="4">
        <v>43875.65902777778</v>
      </c>
      <c r="G3814" s="3" t="s">
        <v>2081</v>
      </c>
      <c r="H3814" s="3" t="s">
        <v>6035</v>
      </c>
      <c r="I3814" s="3" t="s">
        <v>7043</v>
      </c>
      <c r="J3814" s="3"/>
      <c r="K3814" s="3"/>
      <c r="L3814" s="5"/>
    </row>
    <row r="3815" spans="1:12" ht="28.8" x14ac:dyDescent="0.55000000000000004">
      <c r="A3815" s="9" t="str">
        <f>HYPERLINK("PDF\FOIA-FWS-2020-00724-0003814.pdf","FOIA-FWS-2020-00724-0003814")</f>
        <v>FOIA-FWS-2020-00724-0003814</v>
      </c>
      <c r="B3815" s="3" t="s">
        <v>6036</v>
      </c>
      <c r="C3815" s="3" t="s">
        <v>3</v>
      </c>
      <c r="D3815" s="3" t="s">
        <v>33</v>
      </c>
      <c r="E3815" s="3" t="s">
        <v>6038</v>
      </c>
      <c r="F3815" s="4">
        <v>43875.668055555558</v>
      </c>
      <c r="G3815" s="3" t="s">
        <v>5800</v>
      </c>
      <c r="H3815" s="3" t="s">
        <v>6037</v>
      </c>
      <c r="I3815" s="3" t="s">
        <v>7043</v>
      </c>
      <c r="J3815" s="3"/>
      <c r="K3815" s="3"/>
      <c r="L3815" s="5"/>
    </row>
    <row r="3816" spans="1:12" ht="28.8" x14ac:dyDescent="0.55000000000000004">
      <c r="A3816" s="9" t="str">
        <f>HYPERLINK("PDF\FOIA-FWS-2020-00724-0003815.pdf","FOIA-FWS-2020-00724-0003815")</f>
        <v>FOIA-FWS-2020-00724-0003815</v>
      </c>
      <c r="B3816" s="3" t="s">
        <v>6039</v>
      </c>
      <c r="C3816" s="3" t="s">
        <v>3</v>
      </c>
      <c r="D3816" s="3" t="s">
        <v>33</v>
      </c>
      <c r="E3816" s="3" t="s">
        <v>5960</v>
      </c>
      <c r="F3816" s="4">
        <v>43875.681944444441</v>
      </c>
      <c r="G3816" s="3" t="s">
        <v>5800</v>
      </c>
      <c r="H3816" s="3" t="s">
        <v>6040</v>
      </c>
      <c r="I3816" s="3" t="s">
        <v>7043</v>
      </c>
      <c r="J3816" s="3"/>
      <c r="K3816" s="3"/>
      <c r="L3816" s="5"/>
    </row>
    <row r="3817" spans="1:12" ht="28.8" x14ac:dyDescent="0.55000000000000004">
      <c r="A3817" s="9" t="str">
        <f>HYPERLINK("PDF\FOIA-FWS-2020-00724-0003816.pdf","FOIA-FWS-2020-00724-0003816")</f>
        <v>FOIA-FWS-2020-00724-0003816</v>
      </c>
      <c r="B3817" s="3" t="s">
        <v>6039</v>
      </c>
      <c r="C3817" s="3" t="s">
        <v>234</v>
      </c>
      <c r="D3817" s="3" t="s">
        <v>33</v>
      </c>
      <c r="E3817" s="3" t="s">
        <v>6041</v>
      </c>
      <c r="F3817" s="4">
        <v>43875.681944444441</v>
      </c>
      <c r="G3817" s="3"/>
      <c r="H3817" s="3"/>
      <c r="I3817" s="3" t="s">
        <v>7043</v>
      </c>
      <c r="J3817" s="3"/>
      <c r="K3817" s="3"/>
      <c r="L3817" s="5"/>
    </row>
    <row r="3818" spans="1:12" ht="28.8" x14ac:dyDescent="0.55000000000000004">
      <c r="A3818" s="9" t="str">
        <f>HYPERLINK("PDF\FOIA-FWS-2020-00724-0003817.PDF","FOIA-FWS-2020-00724-0003817")</f>
        <v>FOIA-FWS-2020-00724-0003817</v>
      </c>
      <c r="B3818" s="3" t="s">
        <v>6042</v>
      </c>
      <c r="C3818" s="3" t="s">
        <v>3</v>
      </c>
      <c r="D3818" s="3" t="s">
        <v>33</v>
      </c>
      <c r="E3818" s="3" t="s">
        <v>6043</v>
      </c>
      <c r="F3818" s="4">
        <v>43875.740277777775</v>
      </c>
      <c r="G3818" s="3" t="s">
        <v>1392</v>
      </c>
      <c r="H3818" s="3" t="s">
        <v>5800</v>
      </c>
      <c r="I3818" s="3" t="s">
        <v>7043</v>
      </c>
      <c r="J3818" s="3"/>
      <c r="K3818" s="3"/>
      <c r="L3818" s="5"/>
    </row>
    <row r="3819" spans="1:12" ht="28.8" x14ac:dyDescent="0.55000000000000004">
      <c r="A3819" s="9" t="str">
        <f>HYPERLINK("PDF\FOIA-FWS-2020-00724-0003818.pdf","FOIA-FWS-2020-00724-0003818")</f>
        <v>FOIA-FWS-2020-00724-0003818</v>
      </c>
      <c r="B3819" s="3" t="s">
        <v>6042</v>
      </c>
      <c r="C3819" s="3" t="s">
        <v>234</v>
      </c>
      <c r="D3819" s="3" t="s">
        <v>33</v>
      </c>
      <c r="E3819" s="3" t="s">
        <v>6044</v>
      </c>
      <c r="F3819" s="4">
        <v>43875.740277777775</v>
      </c>
      <c r="G3819" s="3"/>
      <c r="H3819" s="3"/>
      <c r="I3819" s="3" t="s">
        <v>7043</v>
      </c>
      <c r="J3819" s="3"/>
      <c r="K3819" s="3"/>
      <c r="L3819" s="5"/>
    </row>
    <row r="3820" spans="1:12" ht="28.8" x14ac:dyDescent="0.55000000000000004">
      <c r="A3820" s="9" t="str">
        <f>HYPERLINK("PDF\FOIA-FWS-2020-00724-0003819.pdf","FOIA-FWS-2020-00724-0003819")</f>
        <v>FOIA-FWS-2020-00724-0003819</v>
      </c>
      <c r="B3820" s="3" t="s">
        <v>6045</v>
      </c>
      <c r="C3820" s="3" t="s">
        <v>3</v>
      </c>
      <c r="D3820" s="3" t="s">
        <v>33</v>
      </c>
      <c r="E3820" s="3" t="s">
        <v>6047</v>
      </c>
      <c r="F3820" s="4">
        <v>43875.775694444441</v>
      </c>
      <c r="G3820" s="3" t="s">
        <v>872</v>
      </c>
      <c r="H3820" s="3" t="s">
        <v>6046</v>
      </c>
      <c r="I3820" s="3" t="s">
        <v>7043</v>
      </c>
      <c r="J3820" s="3"/>
      <c r="K3820" s="3"/>
      <c r="L3820" s="5"/>
    </row>
    <row r="3821" spans="1:12" ht="28.8" x14ac:dyDescent="0.55000000000000004">
      <c r="A3821" s="9" t="str">
        <f>HYPERLINK("PDF\FOIA-FWS-2020-00724-0003820.pdf","FOIA-FWS-2020-00724-0003820")</f>
        <v>FOIA-FWS-2020-00724-0003820</v>
      </c>
      <c r="B3821" s="3" t="s">
        <v>6045</v>
      </c>
      <c r="C3821" s="3" t="s">
        <v>234</v>
      </c>
      <c r="D3821" s="3" t="s">
        <v>33</v>
      </c>
      <c r="E3821" s="3" t="s">
        <v>2866</v>
      </c>
      <c r="F3821" s="4">
        <v>43875.775694444441</v>
      </c>
      <c r="G3821" s="3"/>
      <c r="H3821" s="3"/>
      <c r="I3821" s="3" t="s">
        <v>7043</v>
      </c>
      <c r="J3821" s="3"/>
      <c r="K3821" s="3"/>
      <c r="L3821" s="5"/>
    </row>
    <row r="3822" spans="1:12" ht="28.8" x14ac:dyDescent="0.55000000000000004">
      <c r="A3822" s="9" t="str">
        <f>HYPERLINK("PDF\FOIA-FWS-2020-00724-0003821.pdf","FOIA-FWS-2020-00724-0003821")</f>
        <v>FOIA-FWS-2020-00724-0003821</v>
      </c>
      <c r="B3822" s="3" t="s">
        <v>6048</v>
      </c>
      <c r="C3822" s="3" t="s">
        <v>3</v>
      </c>
      <c r="D3822" s="3" t="s">
        <v>33</v>
      </c>
      <c r="E3822" s="3" t="s">
        <v>6049</v>
      </c>
      <c r="F3822" s="4">
        <v>43879</v>
      </c>
      <c r="G3822" s="3"/>
      <c r="H3822" s="3"/>
      <c r="I3822" s="3" t="s">
        <v>7043</v>
      </c>
      <c r="J3822" s="3"/>
      <c r="K3822" s="3"/>
      <c r="L3822" s="5"/>
    </row>
    <row r="3823" spans="1:12" ht="28.8" x14ac:dyDescent="0.55000000000000004">
      <c r="A3823" s="9" t="str">
        <f>HYPERLINK("PDF\FOIA-FWS-2020-00724-0003822.pdf","FOIA-FWS-2020-00724-0003822")</f>
        <v>FOIA-FWS-2020-00724-0003822</v>
      </c>
      <c r="B3823" s="3" t="s">
        <v>6050</v>
      </c>
      <c r="C3823" s="3" t="s">
        <v>3</v>
      </c>
      <c r="D3823" s="3" t="s">
        <v>33</v>
      </c>
      <c r="E3823" s="3" t="s">
        <v>6051</v>
      </c>
      <c r="F3823" s="4">
        <v>43879</v>
      </c>
      <c r="G3823" s="3"/>
      <c r="H3823" s="3"/>
      <c r="I3823" s="3" t="s">
        <v>7043</v>
      </c>
      <c r="J3823" s="3"/>
      <c r="K3823" s="3"/>
      <c r="L3823" s="5"/>
    </row>
    <row r="3824" spans="1:12" ht="28.8" x14ac:dyDescent="0.55000000000000004">
      <c r="A3824" s="9" t="str">
        <f>HYPERLINK("PDF\FOIA-FWS-2020-00724-0003823.pdf","FOIA-FWS-2020-00724-0003823")</f>
        <v>FOIA-FWS-2020-00724-0003823</v>
      </c>
      <c r="B3824" s="3" t="s">
        <v>6052</v>
      </c>
      <c r="C3824" s="3" t="s">
        <v>3</v>
      </c>
      <c r="D3824" s="3" t="s">
        <v>33</v>
      </c>
      <c r="E3824" s="3" t="s">
        <v>6053</v>
      </c>
      <c r="F3824" s="4">
        <v>43879.395138888889</v>
      </c>
      <c r="G3824" s="3" t="s">
        <v>872</v>
      </c>
      <c r="H3824" s="3" t="s">
        <v>919</v>
      </c>
      <c r="I3824" s="3" t="s">
        <v>7043</v>
      </c>
      <c r="J3824" s="3"/>
      <c r="K3824" s="3"/>
      <c r="L3824" s="5"/>
    </row>
    <row r="3825" spans="1:12" ht="28.8" x14ac:dyDescent="0.55000000000000004">
      <c r="A3825" s="9" t="str">
        <f>HYPERLINK("PDF\FOIA-FWS-2020-00724-0003824.pdf","FOIA-FWS-2020-00724-0003824")</f>
        <v>FOIA-FWS-2020-00724-0003824</v>
      </c>
      <c r="B3825" s="3" t="s">
        <v>6054</v>
      </c>
      <c r="C3825" s="3" t="s">
        <v>3</v>
      </c>
      <c r="D3825" s="3" t="s">
        <v>33</v>
      </c>
      <c r="E3825" s="3" t="s">
        <v>6055</v>
      </c>
      <c r="F3825" s="4">
        <v>43879.418749999997</v>
      </c>
      <c r="G3825" s="3" t="s">
        <v>919</v>
      </c>
      <c r="H3825" s="3" t="s">
        <v>5800</v>
      </c>
      <c r="I3825" s="3" t="s">
        <v>7043</v>
      </c>
      <c r="J3825" s="3"/>
      <c r="K3825" s="3"/>
      <c r="L3825" s="5"/>
    </row>
    <row r="3826" spans="1:12" ht="28.8" x14ac:dyDescent="0.55000000000000004">
      <c r="A3826" s="9" t="str">
        <f>HYPERLINK("PDF\FOIA-FWS-2020-00724-0003825.pdf","FOIA-FWS-2020-00724-0003825")</f>
        <v>FOIA-FWS-2020-00724-0003825</v>
      </c>
      <c r="B3826" s="3" t="s">
        <v>6054</v>
      </c>
      <c r="C3826" s="3" t="s">
        <v>234</v>
      </c>
      <c r="D3826" s="3" t="s">
        <v>33</v>
      </c>
      <c r="E3826" s="3" t="s">
        <v>6056</v>
      </c>
      <c r="F3826" s="4">
        <v>43879.418749999997</v>
      </c>
      <c r="G3826" s="3"/>
      <c r="H3826" s="3"/>
      <c r="I3826" s="3" t="s">
        <v>7043</v>
      </c>
      <c r="J3826" s="3"/>
      <c r="K3826" s="3"/>
      <c r="L3826" s="5"/>
    </row>
    <row r="3827" spans="1:12" ht="43.2" x14ac:dyDescent="0.55000000000000004">
      <c r="A3827" s="9" t="str">
        <f>HYPERLINK("PDF\FOIA-FWS-2020-00724-0003826.pdf","FOIA-FWS-2020-00724-0003826")</f>
        <v>FOIA-FWS-2020-00724-0003826</v>
      </c>
      <c r="B3827" s="3" t="s">
        <v>6057</v>
      </c>
      <c r="C3827" s="3" t="s">
        <v>3</v>
      </c>
      <c r="D3827" s="3" t="s">
        <v>33</v>
      </c>
      <c r="E3827" s="3" t="s">
        <v>6059</v>
      </c>
      <c r="F3827" s="4">
        <v>43879.65347222222</v>
      </c>
      <c r="G3827" s="3" t="s">
        <v>2022</v>
      </c>
      <c r="H3827" s="3" t="s">
        <v>6058</v>
      </c>
      <c r="I3827" s="3" t="s">
        <v>7043</v>
      </c>
      <c r="J3827" s="3"/>
      <c r="K3827" s="3"/>
      <c r="L3827" s="5"/>
    </row>
    <row r="3828" spans="1:12" ht="28.8" x14ac:dyDescent="0.55000000000000004">
      <c r="A3828" s="9" t="str">
        <f>HYPERLINK("PDF\FOIA-FWS-2020-00724-0003827.pdf","FOIA-FWS-2020-00724-0003827")</f>
        <v>FOIA-FWS-2020-00724-0003827</v>
      </c>
      <c r="B3828" s="3" t="s">
        <v>6060</v>
      </c>
      <c r="C3828" s="3" t="s">
        <v>3</v>
      </c>
      <c r="D3828" s="3" t="s">
        <v>33</v>
      </c>
      <c r="E3828" s="3" t="s">
        <v>6061</v>
      </c>
      <c r="F3828" s="4">
        <v>43880</v>
      </c>
      <c r="G3828" s="3"/>
      <c r="H3828" s="3"/>
      <c r="I3828" s="3" t="s">
        <v>7043</v>
      </c>
      <c r="J3828" s="3"/>
      <c r="K3828" s="3"/>
      <c r="L3828" s="5"/>
    </row>
    <row r="3829" spans="1:12" ht="28.8" x14ac:dyDescent="0.55000000000000004">
      <c r="A3829" s="9" t="str">
        <f>HYPERLINK("PDF\FOIA-FWS-2020-00724-0003828.pdf","FOIA-FWS-2020-00724-0003828")</f>
        <v>FOIA-FWS-2020-00724-0003828</v>
      </c>
      <c r="B3829" s="3" t="s">
        <v>6062</v>
      </c>
      <c r="C3829" s="3" t="s">
        <v>3</v>
      </c>
      <c r="D3829" s="3" t="s">
        <v>33</v>
      </c>
      <c r="E3829" s="3" t="s">
        <v>6063</v>
      </c>
      <c r="F3829" s="4">
        <v>43880</v>
      </c>
      <c r="G3829" s="3"/>
      <c r="H3829" s="3"/>
      <c r="I3829" s="3" t="s">
        <v>7043</v>
      </c>
      <c r="J3829" s="3"/>
      <c r="K3829" s="3"/>
      <c r="L3829" s="5"/>
    </row>
    <row r="3830" spans="1:12" ht="28.8" x14ac:dyDescent="0.55000000000000004">
      <c r="A3830" s="9" t="str">
        <f>HYPERLINK("PDF\FOIA-FWS-2020-00724-0003829.pdf","FOIA-FWS-2020-00724-0003829")</f>
        <v>FOIA-FWS-2020-00724-0003829</v>
      </c>
      <c r="B3830" s="3" t="s">
        <v>6064</v>
      </c>
      <c r="C3830" s="3" t="s">
        <v>3</v>
      </c>
      <c r="D3830" s="3" t="s">
        <v>33</v>
      </c>
      <c r="E3830" s="3" t="s">
        <v>2143</v>
      </c>
      <c r="F3830" s="4">
        <v>43880</v>
      </c>
      <c r="G3830" s="3"/>
      <c r="H3830" s="3"/>
      <c r="I3830" s="3" t="s">
        <v>7043</v>
      </c>
      <c r="J3830" s="3"/>
      <c r="K3830" s="3"/>
      <c r="L3830" s="5"/>
    </row>
    <row r="3831" spans="1:12" ht="28.8" x14ac:dyDescent="0.55000000000000004">
      <c r="A3831" s="9" t="str">
        <f>HYPERLINK("PDF\FOIA-FWS-2020-00724-0003830.pdf","FOIA-FWS-2020-00724-0003830")</f>
        <v>FOIA-FWS-2020-00724-0003830</v>
      </c>
      <c r="B3831" s="3" t="s">
        <v>6065</v>
      </c>
      <c r="C3831" s="3" t="s">
        <v>3</v>
      </c>
      <c r="D3831" s="3" t="s">
        <v>33</v>
      </c>
      <c r="E3831" s="3" t="s">
        <v>6066</v>
      </c>
      <c r="F3831" s="4">
        <v>43880</v>
      </c>
      <c r="G3831" s="3"/>
      <c r="H3831" s="3"/>
      <c r="I3831" s="3" t="s">
        <v>7043</v>
      </c>
      <c r="J3831" s="3"/>
      <c r="K3831" s="3"/>
      <c r="L3831" s="5"/>
    </row>
    <row r="3832" spans="1:12" ht="28.8" x14ac:dyDescent="0.55000000000000004">
      <c r="A3832" s="9" t="str">
        <f>HYPERLINK("PDF\FOIA-FWS-2020-00724-0003831.pdf","FOIA-FWS-2020-00724-0003831")</f>
        <v>FOIA-FWS-2020-00724-0003831</v>
      </c>
      <c r="B3832" s="3" t="s">
        <v>6067</v>
      </c>
      <c r="C3832" s="3" t="s">
        <v>3</v>
      </c>
      <c r="D3832" s="3" t="s">
        <v>33</v>
      </c>
      <c r="E3832" s="3" t="s">
        <v>6068</v>
      </c>
      <c r="F3832" s="4">
        <v>43880.51666666667</v>
      </c>
      <c r="G3832" s="3" t="s">
        <v>963</v>
      </c>
      <c r="H3832" s="3" t="s">
        <v>945</v>
      </c>
      <c r="I3832" s="3" t="s">
        <v>7043</v>
      </c>
      <c r="J3832" s="3"/>
      <c r="K3832" s="3"/>
      <c r="L3832" s="5"/>
    </row>
    <row r="3833" spans="1:12" ht="28.8" x14ac:dyDescent="0.55000000000000004">
      <c r="A3833" s="9" t="str">
        <f>HYPERLINK("PDF\FOIA-FWS-2020-00724-0003832.pdf","FOIA-FWS-2020-00724-0003832")</f>
        <v>FOIA-FWS-2020-00724-0003832</v>
      </c>
      <c r="B3833" s="3" t="s">
        <v>6067</v>
      </c>
      <c r="C3833" s="3" t="s">
        <v>234</v>
      </c>
      <c r="D3833" s="3" t="s">
        <v>33</v>
      </c>
      <c r="E3833" s="3" t="s">
        <v>6069</v>
      </c>
      <c r="F3833" s="4">
        <v>43880.51666666667</v>
      </c>
      <c r="G3833" s="3"/>
      <c r="H3833" s="3"/>
      <c r="I3833" s="3" t="s">
        <v>7043</v>
      </c>
      <c r="J3833" s="3"/>
      <c r="K3833" s="3"/>
      <c r="L3833" s="5"/>
    </row>
    <row r="3834" spans="1:12" ht="28.8" x14ac:dyDescent="0.55000000000000004">
      <c r="A3834" s="9" t="str">
        <f>HYPERLINK("PDF\FOIA-FWS-2020-00724-0003833.pdf","FOIA-FWS-2020-00724-0003833")</f>
        <v>FOIA-FWS-2020-00724-0003833</v>
      </c>
      <c r="B3834" s="3" t="s">
        <v>6070</v>
      </c>
      <c r="C3834" s="3" t="s">
        <v>3</v>
      </c>
      <c r="D3834" s="3" t="s">
        <v>33</v>
      </c>
      <c r="E3834" s="3" t="s">
        <v>6071</v>
      </c>
      <c r="F3834" s="4">
        <v>43880.613194444442</v>
      </c>
      <c r="G3834" s="3" t="s">
        <v>955</v>
      </c>
      <c r="H3834" s="3" t="s">
        <v>1119</v>
      </c>
      <c r="I3834" s="3" t="s">
        <v>7043</v>
      </c>
      <c r="J3834" s="3"/>
      <c r="K3834" s="3"/>
      <c r="L3834" s="5"/>
    </row>
    <row r="3835" spans="1:12" ht="28.8" x14ac:dyDescent="0.55000000000000004">
      <c r="A3835" s="9" t="str">
        <f>HYPERLINK("PDF\FOIA-FWS-2020-00724-0003834.pdf","FOIA-FWS-2020-00724-0003834")</f>
        <v>FOIA-FWS-2020-00724-0003834</v>
      </c>
      <c r="B3835" s="3" t="s">
        <v>6070</v>
      </c>
      <c r="C3835" s="3" t="s">
        <v>234</v>
      </c>
      <c r="D3835" s="3" t="s">
        <v>33</v>
      </c>
      <c r="E3835" s="3" t="s">
        <v>5410</v>
      </c>
      <c r="F3835" s="4">
        <v>43880.613194444442</v>
      </c>
      <c r="G3835" s="3"/>
      <c r="H3835" s="3"/>
      <c r="I3835" s="3" t="s">
        <v>7043</v>
      </c>
      <c r="J3835" s="3"/>
      <c r="K3835" s="3"/>
      <c r="L3835" s="5"/>
    </row>
    <row r="3836" spans="1:12" ht="28.8" x14ac:dyDescent="0.55000000000000004">
      <c r="A3836" s="9" t="str">
        <f>HYPERLINK("PDF\FOIA-FWS-2020-00724-0003835.pdf","FOIA-FWS-2020-00724-0003835")</f>
        <v>FOIA-FWS-2020-00724-0003835</v>
      </c>
      <c r="B3836" s="3" t="s">
        <v>6072</v>
      </c>
      <c r="C3836" s="3" t="s">
        <v>3</v>
      </c>
      <c r="D3836" s="3" t="s">
        <v>33</v>
      </c>
      <c r="E3836" s="3" t="s">
        <v>6073</v>
      </c>
      <c r="F3836" s="4">
        <v>43880.75277777778</v>
      </c>
      <c r="G3836" s="3" t="s">
        <v>2022</v>
      </c>
      <c r="H3836" s="3" t="s">
        <v>919</v>
      </c>
      <c r="I3836" s="3" t="s">
        <v>7048</v>
      </c>
      <c r="J3836" s="3" t="s">
        <v>7050</v>
      </c>
      <c r="K3836" s="3" t="s">
        <v>7036</v>
      </c>
      <c r="L3836" s="5"/>
    </row>
    <row r="3837" spans="1:12" ht="28.8" x14ac:dyDescent="0.55000000000000004">
      <c r="A3837" s="9" t="str">
        <f>HYPERLINK("PDF\FOIA-FWS-2020-00724-0003836.pdf","FOIA-FWS-2020-00724-0003836")</f>
        <v>FOIA-FWS-2020-00724-0003836</v>
      </c>
      <c r="B3837" s="3" t="s">
        <v>6074</v>
      </c>
      <c r="C3837" s="3" t="s">
        <v>3</v>
      </c>
      <c r="D3837" s="3" t="s">
        <v>33</v>
      </c>
      <c r="E3837" s="3" t="s">
        <v>6075</v>
      </c>
      <c r="F3837" s="4">
        <v>43881</v>
      </c>
      <c r="G3837" s="3"/>
      <c r="H3837" s="3"/>
      <c r="I3837" s="3" t="s">
        <v>7043</v>
      </c>
      <c r="J3837" s="3"/>
      <c r="K3837" s="3"/>
      <c r="L3837" s="5"/>
    </row>
    <row r="3838" spans="1:12" ht="43.2" x14ac:dyDescent="0.55000000000000004">
      <c r="A3838" s="9" t="str">
        <f>HYPERLINK("PDF\FOIA-FWS-2020-00724-0003837.pdf","FOIA-FWS-2020-00724-0003837")</f>
        <v>FOIA-FWS-2020-00724-0003837</v>
      </c>
      <c r="B3838" s="3" t="s">
        <v>6076</v>
      </c>
      <c r="C3838" s="3" t="s">
        <v>3</v>
      </c>
      <c r="D3838" s="3" t="s">
        <v>33</v>
      </c>
      <c r="E3838" s="3" t="s">
        <v>6077</v>
      </c>
      <c r="F3838" s="4">
        <v>43881.470138888886</v>
      </c>
      <c r="G3838" s="3" t="s">
        <v>2022</v>
      </c>
      <c r="H3838" s="3" t="s">
        <v>6058</v>
      </c>
      <c r="I3838" s="3" t="s">
        <v>7043</v>
      </c>
      <c r="J3838" s="3"/>
      <c r="K3838" s="3"/>
      <c r="L3838" s="5"/>
    </row>
    <row r="3839" spans="1:12" ht="28.8" x14ac:dyDescent="0.55000000000000004">
      <c r="A3839" s="9" t="str">
        <f>HYPERLINK("PDF\FOIA-FWS-2020-00724-0003838.pdf","FOIA-FWS-2020-00724-0003838")</f>
        <v>FOIA-FWS-2020-00724-0003838</v>
      </c>
      <c r="B3839" s="3" t="s">
        <v>6076</v>
      </c>
      <c r="C3839" s="3" t="s">
        <v>234</v>
      </c>
      <c r="D3839" s="3" t="s">
        <v>33</v>
      </c>
      <c r="E3839" s="3" t="s">
        <v>6078</v>
      </c>
      <c r="F3839" s="4">
        <v>43881.470138888886</v>
      </c>
      <c r="G3839" s="3"/>
      <c r="H3839" s="3"/>
      <c r="I3839" s="3" t="s">
        <v>7043</v>
      </c>
      <c r="J3839" s="3"/>
      <c r="K3839" s="3"/>
      <c r="L3839" s="5"/>
    </row>
    <row r="3840" spans="1:12" ht="28.8" x14ac:dyDescent="0.55000000000000004">
      <c r="A3840" s="9" t="str">
        <f>HYPERLINK("PDF\FOIA-FWS-2020-00724-0003839.pdf","FOIA-FWS-2020-00724-0003839")</f>
        <v>FOIA-FWS-2020-00724-0003839</v>
      </c>
      <c r="B3840" s="3" t="s">
        <v>6079</v>
      </c>
      <c r="C3840" s="3" t="s">
        <v>3</v>
      </c>
      <c r="D3840" s="3" t="s">
        <v>33</v>
      </c>
      <c r="E3840" s="3" t="s">
        <v>6080</v>
      </c>
      <c r="F3840" s="4">
        <v>43881.563194444447</v>
      </c>
      <c r="G3840" s="3" t="s">
        <v>919</v>
      </c>
      <c r="H3840" s="3" t="s">
        <v>2022</v>
      </c>
      <c r="I3840" s="3" t="s">
        <v>7043</v>
      </c>
      <c r="J3840" s="3"/>
      <c r="K3840" s="3"/>
      <c r="L3840" s="5"/>
    </row>
    <row r="3841" spans="1:12" ht="28.8" x14ac:dyDescent="0.55000000000000004">
      <c r="A3841" s="9" t="str">
        <f>HYPERLINK("PDF\FOIA-FWS-2020-00724-0003840.pdf","FOIA-FWS-2020-00724-0003840")</f>
        <v>FOIA-FWS-2020-00724-0003840</v>
      </c>
      <c r="B3841" s="3" t="s">
        <v>6079</v>
      </c>
      <c r="C3841" s="3" t="s">
        <v>234</v>
      </c>
      <c r="D3841" s="3" t="s">
        <v>33</v>
      </c>
      <c r="E3841" s="3" t="s">
        <v>6081</v>
      </c>
      <c r="F3841" s="4">
        <v>43881.563194444447</v>
      </c>
      <c r="G3841" s="3"/>
      <c r="H3841" s="3"/>
      <c r="I3841" s="3" t="s">
        <v>7043</v>
      </c>
      <c r="J3841" s="3"/>
      <c r="K3841" s="3"/>
      <c r="L3841" s="5"/>
    </row>
    <row r="3842" spans="1:12" ht="28.8" x14ac:dyDescent="0.55000000000000004">
      <c r="A3842" s="9" t="str">
        <f>HYPERLINK("PDF\FOIA-FWS-2020-00724-0003841.pdf","FOIA-FWS-2020-00724-0003841")</f>
        <v>FOIA-FWS-2020-00724-0003841</v>
      </c>
      <c r="B3842" s="3" t="s">
        <v>6082</v>
      </c>
      <c r="C3842" s="3" t="s">
        <v>3</v>
      </c>
      <c r="D3842" s="3" t="s">
        <v>33</v>
      </c>
      <c r="E3842" s="3" t="s">
        <v>6083</v>
      </c>
      <c r="F3842" s="4">
        <v>43881.647916666669</v>
      </c>
      <c r="G3842" s="3" t="s">
        <v>919</v>
      </c>
      <c r="H3842" s="3" t="s">
        <v>2022</v>
      </c>
      <c r="I3842" s="3" t="s">
        <v>7043</v>
      </c>
      <c r="J3842" s="3"/>
      <c r="K3842" s="3"/>
      <c r="L3842" s="5"/>
    </row>
    <row r="3843" spans="1:12" ht="28.8" x14ac:dyDescent="0.55000000000000004">
      <c r="A3843" s="9" t="str">
        <f>HYPERLINK("PDF\FOIA-FWS-2020-00724-0003842.pdf","FOIA-FWS-2020-00724-0003842")</f>
        <v>FOIA-FWS-2020-00724-0003842</v>
      </c>
      <c r="B3843" s="3" t="s">
        <v>6082</v>
      </c>
      <c r="C3843" s="3" t="s">
        <v>234</v>
      </c>
      <c r="D3843" s="3" t="s">
        <v>33</v>
      </c>
      <c r="E3843" s="3" t="s">
        <v>6084</v>
      </c>
      <c r="F3843" s="4">
        <v>43881.647916666669</v>
      </c>
      <c r="G3843" s="3"/>
      <c r="H3843" s="3"/>
      <c r="I3843" s="3" t="s">
        <v>7043</v>
      </c>
      <c r="J3843" s="3"/>
      <c r="K3843" s="3"/>
      <c r="L3843" s="5"/>
    </row>
    <row r="3844" spans="1:12" ht="28.8" x14ac:dyDescent="0.55000000000000004">
      <c r="A3844" s="9" t="str">
        <f>HYPERLINK("PDF\FOIA-FWS-2020-00724-0003843.pdf","FOIA-FWS-2020-00724-0003843")</f>
        <v>FOIA-FWS-2020-00724-0003843</v>
      </c>
      <c r="B3844" s="3" t="s">
        <v>6085</v>
      </c>
      <c r="C3844" s="3" t="s">
        <v>3</v>
      </c>
      <c r="D3844" s="3" t="s">
        <v>33</v>
      </c>
      <c r="E3844" s="3" t="s">
        <v>6086</v>
      </c>
      <c r="F3844" s="4">
        <v>43882</v>
      </c>
      <c r="G3844" s="3"/>
      <c r="H3844" s="3"/>
      <c r="I3844" s="3" t="s">
        <v>7043</v>
      </c>
      <c r="J3844" s="3"/>
      <c r="K3844" s="3"/>
      <c r="L3844" s="5"/>
    </row>
    <row r="3845" spans="1:12" ht="28.8" x14ac:dyDescent="0.55000000000000004">
      <c r="A3845" s="9" t="str">
        <f>HYPERLINK("PDF\FOIA-FWS-2020-00724-0003844.pdf","FOIA-FWS-2020-00724-0003844")</f>
        <v>FOIA-FWS-2020-00724-0003844</v>
      </c>
      <c r="B3845" s="3" t="s">
        <v>6087</v>
      </c>
      <c r="C3845" s="3" t="s">
        <v>3</v>
      </c>
      <c r="D3845" s="3" t="s">
        <v>33</v>
      </c>
      <c r="E3845" s="3" t="s">
        <v>6088</v>
      </c>
      <c r="F3845" s="4">
        <v>43882</v>
      </c>
      <c r="G3845" s="3"/>
      <c r="H3845" s="3"/>
      <c r="I3845" s="3" t="s">
        <v>7043</v>
      </c>
      <c r="J3845" s="3"/>
      <c r="K3845" s="3"/>
      <c r="L3845" s="5"/>
    </row>
    <row r="3846" spans="1:12" ht="28.8" x14ac:dyDescent="0.55000000000000004">
      <c r="A3846" s="9" t="str">
        <f>HYPERLINK("PDF\FOIA-FWS-2020-00724-0003845.pdf","FOIA-FWS-2020-00724-0003845")</f>
        <v>FOIA-FWS-2020-00724-0003845</v>
      </c>
      <c r="B3846" s="3" t="s">
        <v>6089</v>
      </c>
      <c r="C3846" s="3" t="s">
        <v>3</v>
      </c>
      <c r="D3846" s="3" t="s">
        <v>33</v>
      </c>
      <c r="E3846" s="3" t="s">
        <v>6090</v>
      </c>
      <c r="F3846" s="4">
        <v>43882</v>
      </c>
      <c r="G3846" s="3"/>
      <c r="H3846" s="3"/>
      <c r="I3846" s="3" t="s">
        <v>7043</v>
      </c>
      <c r="J3846" s="3"/>
      <c r="K3846" s="3"/>
      <c r="L3846" s="5"/>
    </row>
    <row r="3847" spans="1:12" ht="28.8" x14ac:dyDescent="0.55000000000000004">
      <c r="A3847" s="9" t="str">
        <f>HYPERLINK("PDF\FOIA-FWS-2020-00724-0003846.pdf","FOIA-FWS-2020-00724-0003846")</f>
        <v>FOIA-FWS-2020-00724-0003846</v>
      </c>
      <c r="B3847" s="3" t="s">
        <v>6091</v>
      </c>
      <c r="C3847" s="3" t="s">
        <v>3</v>
      </c>
      <c r="D3847" s="3" t="s">
        <v>33</v>
      </c>
      <c r="E3847" s="3" t="s">
        <v>6092</v>
      </c>
      <c r="F3847" s="4">
        <v>43882.411111111112</v>
      </c>
      <c r="G3847" s="3" t="s">
        <v>872</v>
      </c>
      <c r="H3847" s="3" t="s">
        <v>5881</v>
      </c>
      <c r="I3847" s="3" t="s">
        <v>7043</v>
      </c>
      <c r="J3847" s="3"/>
      <c r="K3847" s="3"/>
      <c r="L3847" s="5"/>
    </row>
    <row r="3848" spans="1:12" ht="28.8" x14ac:dyDescent="0.55000000000000004">
      <c r="A3848" s="9" t="str">
        <f>HYPERLINK("PDF\FOIA-FWS-2020-00724-0003847.pdf","FOIA-FWS-2020-00724-0003847")</f>
        <v>FOIA-FWS-2020-00724-0003847</v>
      </c>
      <c r="B3848" s="3" t="s">
        <v>6093</v>
      </c>
      <c r="C3848" s="3" t="s">
        <v>3</v>
      </c>
      <c r="D3848" s="3" t="s">
        <v>33</v>
      </c>
      <c r="E3848" s="3" t="s">
        <v>6094</v>
      </c>
      <c r="F3848" s="4">
        <v>43882.486111111109</v>
      </c>
      <c r="G3848" s="3" t="s">
        <v>872</v>
      </c>
      <c r="H3848" s="3" t="s">
        <v>951</v>
      </c>
      <c r="I3848" s="3" t="s">
        <v>7043</v>
      </c>
      <c r="J3848" s="3"/>
      <c r="K3848" s="3"/>
      <c r="L3848" s="5"/>
    </row>
    <row r="3849" spans="1:12" ht="28.8" x14ac:dyDescent="0.55000000000000004">
      <c r="A3849" s="9" t="str">
        <f>HYPERLINK("PDF\FOIA-FWS-2020-00724-0003848.pdf","FOIA-FWS-2020-00724-0003848")</f>
        <v>FOIA-FWS-2020-00724-0003848</v>
      </c>
      <c r="B3849" s="3" t="s">
        <v>6095</v>
      </c>
      <c r="C3849" s="3" t="s">
        <v>3</v>
      </c>
      <c r="D3849" s="3" t="s">
        <v>33</v>
      </c>
      <c r="E3849" s="3" t="s">
        <v>6096</v>
      </c>
      <c r="F3849" s="4">
        <v>43882.536805555559</v>
      </c>
      <c r="G3849" s="3" t="s">
        <v>2022</v>
      </c>
      <c r="H3849" s="3" t="s">
        <v>919</v>
      </c>
      <c r="I3849" s="3" t="s">
        <v>7043</v>
      </c>
      <c r="J3849" s="3"/>
      <c r="K3849" s="3"/>
      <c r="L3849" s="5"/>
    </row>
    <row r="3850" spans="1:12" ht="28.8" x14ac:dyDescent="0.55000000000000004">
      <c r="A3850" s="9" t="str">
        <f>HYPERLINK("PDF\FOIA-FWS-2020-00724-0003849.pdf","FOIA-FWS-2020-00724-0003849")</f>
        <v>FOIA-FWS-2020-00724-0003849</v>
      </c>
      <c r="B3850" s="3" t="s">
        <v>6095</v>
      </c>
      <c r="C3850" s="3" t="s">
        <v>234</v>
      </c>
      <c r="D3850" s="3" t="s">
        <v>33</v>
      </c>
      <c r="E3850" s="3" t="s">
        <v>6097</v>
      </c>
      <c r="F3850" s="4">
        <v>43882.536805555559</v>
      </c>
      <c r="G3850" s="3"/>
      <c r="H3850" s="3"/>
      <c r="I3850" s="3" t="s">
        <v>7043</v>
      </c>
      <c r="J3850" s="3"/>
      <c r="K3850" s="3"/>
      <c r="L3850" s="5"/>
    </row>
    <row r="3851" spans="1:12" ht="28.8" x14ac:dyDescent="0.55000000000000004">
      <c r="A3851" s="9" t="str">
        <f>HYPERLINK("PDF\FOIA-FWS-2020-00724-0003850.pdf","FOIA-FWS-2020-00724-0003850")</f>
        <v>FOIA-FWS-2020-00724-0003850</v>
      </c>
      <c r="B3851" s="3" t="s">
        <v>6098</v>
      </c>
      <c r="C3851" s="3" t="s">
        <v>3</v>
      </c>
      <c r="D3851" s="3" t="s">
        <v>33</v>
      </c>
      <c r="E3851" s="3" t="s">
        <v>6099</v>
      </c>
      <c r="F3851" s="4">
        <v>43882.598611111112</v>
      </c>
      <c r="G3851" s="3" t="s">
        <v>2022</v>
      </c>
      <c r="H3851" s="3" t="s">
        <v>919</v>
      </c>
      <c r="I3851" s="3" t="s">
        <v>7043</v>
      </c>
      <c r="J3851" s="3"/>
      <c r="K3851" s="3"/>
      <c r="L3851" s="5"/>
    </row>
    <row r="3852" spans="1:12" ht="28.8" x14ac:dyDescent="0.55000000000000004">
      <c r="A3852" s="9" t="str">
        <f>HYPERLINK("PDF\FOIA-FWS-2020-00724-0003851.pdf","FOIA-FWS-2020-00724-0003851")</f>
        <v>FOIA-FWS-2020-00724-0003851</v>
      </c>
      <c r="B3852" s="3" t="s">
        <v>6098</v>
      </c>
      <c r="C3852" s="3" t="s">
        <v>234</v>
      </c>
      <c r="D3852" s="3" t="s">
        <v>33</v>
      </c>
      <c r="E3852" s="3" t="s">
        <v>6100</v>
      </c>
      <c r="F3852" s="4">
        <v>43882.598611111112</v>
      </c>
      <c r="G3852" s="3"/>
      <c r="H3852" s="3"/>
      <c r="I3852" s="3" t="s">
        <v>7043</v>
      </c>
      <c r="J3852" s="3"/>
      <c r="K3852" s="3"/>
      <c r="L3852" s="5"/>
    </row>
    <row r="3853" spans="1:12" ht="28.8" x14ac:dyDescent="0.55000000000000004">
      <c r="A3853" s="9" t="str">
        <f>HYPERLINK("PDF\FOIA-FWS-2020-00724-0003852.pdf","FOIA-FWS-2020-00724-0003852")</f>
        <v>FOIA-FWS-2020-00724-0003852</v>
      </c>
      <c r="B3853" s="3" t="s">
        <v>6101</v>
      </c>
      <c r="C3853" s="3" t="s">
        <v>3</v>
      </c>
      <c r="D3853" s="3" t="s">
        <v>33</v>
      </c>
      <c r="E3853" s="3" t="s">
        <v>6102</v>
      </c>
      <c r="F3853" s="4">
        <v>43882.651388888888</v>
      </c>
      <c r="G3853" s="3" t="s">
        <v>919</v>
      </c>
      <c r="H3853" s="3" t="s">
        <v>2022</v>
      </c>
      <c r="I3853" s="3" t="s">
        <v>7043</v>
      </c>
      <c r="J3853" s="3"/>
      <c r="K3853" s="3"/>
      <c r="L3853" s="5"/>
    </row>
    <row r="3854" spans="1:12" ht="28.8" x14ac:dyDescent="0.55000000000000004">
      <c r="A3854" s="9" t="str">
        <f>HYPERLINK("PDF\FOIA-FWS-2020-00724-0003853.pdf","FOIA-FWS-2020-00724-0003853")</f>
        <v>FOIA-FWS-2020-00724-0003853</v>
      </c>
      <c r="B3854" s="3" t="s">
        <v>6101</v>
      </c>
      <c r="C3854" s="3" t="s">
        <v>234</v>
      </c>
      <c r="D3854" s="3" t="s">
        <v>33</v>
      </c>
      <c r="E3854" s="3" t="s">
        <v>6103</v>
      </c>
      <c r="F3854" s="4">
        <v>43882.651388888888</v>
      </c>
      <c r="G3854" s="3"/>
      <c r="H3854" s="3"/>
      <c r="I3854" s="3" t="s">
        <v>7043</v>
      </c>
      <c r="J3854" s="3"/>
      <c r="K3854" s="3"/>
      <c r="L3854" s="5"/>
    </row>
    <row r="3855" spans="1:12" ht="43.2" x14ac:dyDescent="0.55000000000000004">
      <c r="A3855" s="9" t="str">
        <f>HYPERLINK("PDF\FOIA-FWS-2020-00724-0003854.pdf","FOIA-FWS-2020-00724-0003854")</f>
        <v>FOIA-FWS-2020-00724-0003854</v>
      </c>
      <c r="B3855" s="3" t="s">
        <v>6104</v>
      </c>
      <c r="C3855" s="3" t="s">
        <v>3</v>
      </c>
      <c r="D3855" s="3" t="s">
        <v>33</v>
      </c>
      <c r="E3855" s="3" t="s">
        <v>6106</v>
      </c>
      <c r="F3855" s="4">
        <v>43882.655555555553</v>
      </c>
      <c r="G3855" s="3" t="s">
        <v>5800</v>
      </c>
      <c r="H3855" s="3" t="s">
        <v>6105</v>
      </c>
      <c r="I3855" s="3" t="s">
        <v>7043</v>
      </c>
      <c r="J3855" s="3"/>
      <c r="K3855" s="3"/>
      <c r="L3855" s="5"/>
    </row>
    <row r="3856" spans="1:12" ht="28.8" x14ac:dyDescent="0.55000000000000004">
      <c r="A3856" s="9" t="str">
        <f>HYPERLINK("PDF\FOIA-FWS-2020-00724-0003855.pdf","FOIA-FWS-2020-00724-0003855")</f>
        <v>FOIA-FWS-2020-00724-0003855</v>
      </c>
      <c r="B3856" s="3" t="s">
        <v>6104</v>
      </c>
      <c r="C3856" s="3" t="s">
        <v>234</v>
      </c>
      <c r="D3856" s="3" t="s">
        <v>33</v>
      </c>
      <c r="E3856" s="3" t="s">
        <v>6107</v>
      </c>
      <c r="F3856" s="4">
        <v>43882.655555555553</v>
      </c>
      <c r="G3856" s="3"/>
      <c r="H3856" s="3"/>
      <c r="I3856" s="3" t="s">
        <v>7043</v>
      </c>
      <c r="J3856" s="3"/>
      <c r="K3856" s="3"/>
      <c r="L3856" s="5"/>
    </row>
    <row r="3857" spans="1:12" ht="28.8" x14ac:dyDescent="0.55000000000000004">
      <c r="A3857" s="9" t="str">
        <f>HYPERLINK("PDF\FOIA-FWS-2020-00724-0003856.pdf","FOIA-FWS-2020-00724-0003856")</f>
        <v>FOIA-FWS-2020-00724-0003856</v>
      </c>
      <c r="B3857" s="3" t="s">
        <v>6108</v>
      </c>
      <c r="C3857" s="3" t="s">
        <v>3</v>
      </c>
      <c r="D3857" s="3" t="s">
        <v>33</v>
      </c>
      <c r="E3857" s="3" t="s">
        <v>6109</v>
      </c>
      <c r="F3857" s="4">
        <v>43882.6875</v>
      </c>
      <c r="G3857" s="3" t="s">
        <v>919</v>
      </c>
      <c r="H3857" s="3" t="s">
        <v>3422</v>
      </c>
      <c r="I3857" s="3" t="s">
        <v>7043</v>
      </c>
      <c r="J3857" s="3"/>
      <c r="K3857" s="3"/>
      <c r="L3857" s="5"/>
    </row>
    <row r="3858" spans="1:12" ht="28.8" x14ac:dyDescent="0.55000000000000004">
      <c r="A3858" s="9" t="str">
        <f>HYPERLINK("PDF\FOIA-FWS-2020-00724-0003857.pdf","FOIA-FWS-2020-00724-0003857")</f>
        <v>FOIA-FWS-2020-00724-0003857</v>
      </c>
      <c r="B3858" s="3" t="s">
        <v>6110</v>
      </c>
      <c r="C3858" s="3" t="s">
        <v>3</v>
      </c>
      <c r="D3858" s="3" t="s">
        <v>33</v>
      </c>
      <c r="E3858" s="3" t="s">
        <v>6111</v>
      </c>
      <c r="F3858" s="4">
        <v>43882.693749999999</v>
      </c>
      <c r="G3858" s="3" t="s">
        <v>5800</v>
      </c>
      <c r="H3858" s="3" t="s">
        <v>872</v>
      </c>
      <c r="I3858" s="3" t="s">
        <v>7043</v>
      </c>
      <c r="J3858" s="3"/>
      <c r="K3858" s="3"/>
      <c r="L3858" s="5"/>
    </row>
    <row r="3859" spans="1:12" ht="43.2" x14ac:dyDescent="0.55000000000000004">
      <c r="A3859" s="9" t="str">
        <f>HYPERLINK("PDF\FOIA-FWS-2020-00724-0003858.pdf","FOIA-FWS-2020-00724-0003858")</f>
        <v>FOIA-FWS-2020-00724-0003858</v>
      </c>
      <c r="B3859" s="3" t="s">
        <v>6112</v>
      </c>
      <c r="C3859" s="3" t="s">
        <v>3</v>
      </c>
      <c r="D3859" s="3" t="s">
        <v>33</v>
      </c>
      <c r="E3859" s="3" t="s">
        <v>6114</v>
      </c>
      <c r="F3859" s="4">
        <v>43882.714583333334</v>
      </c>
      <c r="G3859" s="3" t="s">
        <v>5800</v>
      </c>
      <c r="H3859" s="3" t="s">
        <v>6113</v>
      </c>
      <c r="I3859" s="3" t="s">
        <v>7043</v>
      </c>
      <c r="J3859" s="3"/>
      <c r="K3859" s="3"/>
      <c r="L3859" s="5"/>
    </row>
    <row r="3860" spans="1:12" ht="28.8" x14ac:dyDescent="0.55000000000000004">
      <c r="A3860" s="9" t="str">
        <f>HYPERLINK("PDF\FOIA-FWS-2020-00724-0003859.pdf","FOIA-FWS-2020-00724-0003859")</f>
        <v>FOIA-FWS-2020-00724-0003859</v>
      </c>
      <c r="B3860" s="3" t="s">
        <v>6115</v>
      </c>
      <c r="C3860" s="3" t="s">
        <v>3</v>
      </c>
      <c r="D3860" s="3" t="s">
        <v>33</v>
      </c>
      <c r="E3860" s="3" t="s">
        <v>6116</v>
      </c>
      <c r="F3860" s="4">
        <v>43882.729166666664</v>
      </c>
      <c r="G3860" s="3" t="s">
        <v>1963</v>
      </c>
      <c r="H3860" s="3" t="s">
        <v>5800</v>
      </c>
      <c r="I3860" s="3" t="s">
        <v>7043</v>
      </c>
      <c r="J3860" s="3"/>
      <c r="K3860" s="3"/>
      <c r="L3860" s="5"/>
    </row>
    <row r="3861" spans="1:12" ht="28.8" x14ac:dyDescent="0.55000000000000004">
      <c r="A3861" s="9" t="str">
        <f>HYPERLINK("PDF\FOIA-FWS-2020-00724-0003860.pdf","FOIA-FWS-2020-00724-0003860")</f>
        <v>FOIA-FWS-2020-00724-0003860</v>
      </c>
      <c r="B3861" s="3" t="s">
        <v>6115</v>
      </c>
      <c r="C3861" s="3" t="s">
        <v>234</v>
      </c>
      <c r="D3861" s="3" t="s">
        <v>33</v>
      </c>
      <c r="E3861" s="3" t="s">
        <v>6117</v>
      </c>
      <c r="F3861" s="4">
        <v>43882.729166666664</v>
      </c>
      <c r="G3861" s="3"/>
      <c r="H3861" s="3"/>
      <c r="I3861" s="3" t="s">
        <v>7043</v>
      </c>
      <c r="J3861" s="3"/>
      <c r="K3861" s="3"/>
      <c r="L3861" s="5"/>
    </row>
    <row r="3862" spans="1:12" ht="28.8" x14ac:dyDescent="0.55000000000000004">
      <c r="A3862" s="9" t="str">
        <f>HYPERLINK("PDF\FOIA-FWS-2020-00724-0003861.pdf","FOIA-FWS-2020-00724-0003861")</f>
        <v>FOIA-FWS-2020-00724-0003861</v>
      </c>
      <c r="B3862" s="3" t="s">
        <v>6118</v>
      </c>
      <c r="C3862" s="3" t="s">
        <v>3</v>
      </c>
      <c r="D3862" s="3" t="s">
        <v>33</v>
      </c>
      <c r="E3862" s="3" t="s">
        <v>6119</v>
      </c>
      <c r="F3862" s="4">
        <v>43882.73541666667</v>
      </c>
      <c r="G3862" s="3" t="s">
        <v>872</v>
      </c>
      <c r="H3862" s="3" t="s">
        <v>955</v>
      </c>
      <c r="I3862" s="3" t="s">
        <v>7043</v>
      </c>
      <c r="J3862" s="3"/>
      <c r="K3862" s="3"/>
      <c r="L3862" s="5"/>
    </row>
    <row r="3863" spans="1:12" ht="28.8" x14ac:dyDescent="0.55000000000000004">
      <c r="A3863" s="9" t="str">
        <f>HYPERLINK("PDF\FOIA-FWS-2020-00724-0003862.pdf","FOIA-FWS-2020-00724-0003862")</f>
        <v>FOIA-FWS-2020-00724-0003862</v>
      </c>
      <c r="B3863" s="3" t="s">
        <v>6120</v>
      </c>
      <c r="C3863" s="3" t="s">
        <v>3</v>
      </c>
      <c r="D3863" s="3" t="s">
        <v>33</v>
      </c>
      <c r="E3863" s="3" t="s">
        <v>6121</v>
      </c>
      <c r="F3863" s="4">
        <v>43882.737500000003</v>
      </c>
      <c r="G3863" s="3" t="s">
        <v>872</v>
      </c>
      <c r="H3863" s="3" t="s">
        <v>919</v>
      </c>
      <c r="I3863" s="3" t="s">
        <v>7043</v>
      </c>
      <c r="J3863" s="3"/>
      <c r="K3863" s="3"/>
      <c r="L3863" s="5"/>
    </row>
    <row r="3864" spans="1:12" ht="28.8" x14ac:dyDescent="0.55000000000000004">
      <c r="A3864" s="9" t="str">
        <f>HYPERLINK("PDF\FOIA-FWS-2020-00724-0003863.pdf","FOIA-FWS-2020-00724-0003863")</f>
        <v>FOIA-FWS-2020-00724-0003863</v>
      </c>
      <c r="B3864" s="3" t="s">
        <v>6122</v>
      </c>
      <c r="C3864" s="3" t="s">
        <v>3</v>
      </c>
      <c r="D3864" s="3" t="s">
        <v>33</v>
      </c>
      <c r="E3864" s="3" t="s">
        <v>6123</v>
      </c>
      <c r="F3864" s="4">
        <v>43882.74722222222</v>
      </c>
      <c r="G3864" s="3" t="s">
        <v>2022</v>
      </c>
      <c r="H3864" s="3" t="s">
        <v>919</v>
      </c>
      <c r="I3864" s="3" t="s">
        <v>7043</v>
      </c>
      <c r="J3864" s="3"/>
      <c r="K3864" s="3"/>
      <c r="L3864" s="5"/>
    </row>
    <row r="3865" spans="1:12" ht="28.8" x14ac:dyDescent="0.55000000000000004">
      <c r="A3865" s="9" t="str">
        <f>HYPERLINK("PDF\FOIA-FWS-2020-00724-0003864.pdf","FOIA-FWS-2020-00724-0003864")</f>
        <v>FOIA-FWS-2020-00724-0003864</v>
      </c>
      <c r="B3865" s="3" t="s">
        <v>6122</v>
      </c>
      <c r="C3865" s="3" t="s">
        <v>234</v>
      </c>
      <c r="D3865" s="3" t="s">
        <v>33</v>
      </c>
      <c r="E3865" s="3" t="s">
        <v>6124</v>
      </c>
      <c r="F3865" s="4">
        <v>43882.74722222222</v>
      </c>
      <c r="G3865" s="3"/>
      <c r="H3865" s="3"/>
      <c r="I3865" s="3" t="s">
        <v>7043</v>
      </c>
      <c r="J3865" s="3"/>
      <c r="K3865" s="3"/>
      <c r="L3865" s="5"/>
    </row>
    <row r="3866" spans="1:12" ht="28.8" x14ac:dyDescent="0.55000000000000004">
      <c r="A3866" s="9" t="str">
        <f>HYPERLINK("PDF\FOIA-FWS-2020-00724-0003865.pdf","FOIA-FWS-2020-00724-0003865")</f>
        <v>FOIA-FWS-2020-00724-0003865</v>
      </c>
      <c r="B3866" s="3" t="s">
        <v>6122</v>
      </c>
      <c r="C3866" s="3" t="s">
        <v>234</v>
      </c>
      <c r="D3866" s="3" t="s">
        <v>33</v>
      </c>
      <c r="E3866" s="3" t="s">
        <v>6125</v>
      </c>
      <c r="F3866" s="4">
        <v>43882.74722222222</v>
      </c>
      <c r="G3866" s="3"/>
      <c r="H3866" s="3"/>
      <c r="I3866" s="3" t="s">
        <v>7043</v>
      </c>
      <c r="J3866" s="3"/>
      <c r="K3866" s="3"/>
      <c r="L3866" s="5"/>
    </row>
    <row r="3867" spans="1:12" ht="28.8" x14ac:dyDescent="0.55000000000000004">
      <c r="A3867" s="9" t="str">
        <f>HYPERLINK("PDF\FOIA-FWS-2020-00724-0003866.pdf","FOIA-FWS-2020-00724-0003866")</f>
        <v>FOIA-FWS-2020-00724-0003866</v>
      </c>
      <c r="B3867" s="3" t="s">
        <v>6122</v>
      </c>
      <c r="C3867" s="3" t="s">
        <v>234</v>
      </c>
      <c r="D3867" s="3" t="s">
        <v>33</v>
      </c>
      <c r="E3867" s="3" t="s">
        <v>6126</v>
      </c>
      <c r="F3867" s="4">
        <v>43882.74722222222</v>
      </c>
      <c r="G3867" s="3"/>
      <c r="H3867" s="3"/>
      <c r="I3867" s="3" t="s">
        <v>7043</v>
      </c>
      <c r="J3867" s="3"/>
      <c r="K3867" s="3"/>
      <c r="L3867" s="5"/>
    </row>
    <row r="3868" spans="1:12" ht="28.8" x14ac:dyDescent="0.55000000000000004">
      <c r="A3868" s="9" t="str">
        <f>HYPERLINK("PDF\FOIA-FWS-2020-00724-0003867.pdf","FOIA-FWS-2020-00724-0003867")</f>
        <v>FOIA-FWS-2020-00724-0003867</v>
      </c>
      <c r="B3868" s="3" t="s">
        <v>6122</v>
      </c>
      <c r="C3868" s="3" t="s">
        <v>234</v>
      </c>
      <c r="D3868" s="3" t="s">
        <v>33</v>
      </c>
      <c r="E3868" s="3" t="s">
        <v>5859</v>
      </c>
      <c r="F3868" s="4">
        <v>43882.74722222222</v>
      </c>
      <c r="G3868" s="3"/>
      <c r="H3868" s="3"/>
      <c r="I3868" s="3" t="s">
        <v>7043</v>
      </c>
      <c r="J3868" s="3"/>
      <c r="K3868" s="3"/>
      <c r="L3868" s="5"/>
    </row>
    <row r="3869" spans="1:12" ht="28.8" x14ac:dyDescent="0.55000000000000004">
      <c r="A3869" s="9" t="str">
        <f>HYPERLINK("PDF\FOIA-FWS-2020-00724-0003868.pdf","FOIA-FWS-2020-00724-0003868")</f>
        <v>FOIA-FWS-2020-00724-0003868</v>
      </c>
      <c r="B3869" s="3" t="s">
        <v>6122</v>
      </c>
      <c r="C3869" s="3" t="s">
        <v>234</v>
      </c>
      <c r="D3869" s="3" t="s">
        <v>33</v>
      </c>
      <c r="E3869" s="3" t="s">
        <v>6127</v>
      </c>
      <c r="F3869" s="4">
        <v>43882.74722222222</v>
      </c>
      <c r="G3869" s="3"/>
      <c r="H3869" s="3"/>
      <c r="I3869" s="3" t="s">
        <v>7043</v>
      </c>
      <c r="J3869" s="3"/>
      <c r="K3869" s="3"/>
      <c r="L3869" s="5"/>
    </row>
    <row r="3870" spans="1:12" ht="28.8" x14ac:dyDescent="0.55000000000000004">
      <c r="A3870" s="9" t="str">
        <f>HYPERLINK("PDF\FOIA-FWS-2020-00724-0003869.pdf","FOIA-FWS-2020-00724-0003869")</f>
        <v>FOIA-FWS-2020-00724-0003869</v>
      </c>
      <c r="B3870" s="3" t="s">
        <v>6122</v>
      </c>
      <c r="C3870" s="3" t="s">
        <v>234</v>
      </c>
      <c r="D3870" s="3" t="s">
        <v>33</v>
      </c>
      <c r="E3870" s="3" t="s">
        <v>6128</v>
      </c>
      <c r="F3870" s="4">
        <v>43882.74722222222</v>
      </c>
      <c r="G3870" s="3"/>
      <c r="H3870" s="3"/>
      <c r="I3870" s="3" t="s">
        <v>7043</v>
      </c>
      <c r="J3870" s="3"/>
      <c r="K3870" s="3"/>
      <c r="L3870" s="5"/>
    </row>
    <row r="3871" spans="1:12" ht="28.8" x14ac:dyDescent="0.55000000000000004">
      <c r="A3871" s="9" t="str">
        <f>HYPERLINK("PDF\FOIA-FWS-2020-00724-0003870.pdf","FOIA-FWS-2020-00724-0003870")</f>
        <v>FOIA-FWS-2020-00724-0003870</v>
      </c>
      <c r="B3871" s="3" t="s">
        <v>6122</v>
      </c>
      <c r="C3871" s="3" t="s">
        <v>234</v>
      </c>
      <c r="D3871" s="3" t="s">
        <v>33</v>
      </c>
      <c r="E3871" s="3" t="s">
        <v>5879</v>
      </c>
      <c r="F3871" s="4">
        <v>43882.74722222222</v>
      </c>
      <c r="G3871" s="3"/>
      <c r="H3871" s="3"/>
      <c r="I3871" s="3" t="s">
        <v>7043</v>
      </c>
      <c r="J3871" s="3"/>
      <c r="K3871" s="3"/>
      <c r="L3871" s="5"/>
    </row>
    <row r="3872" spans="1:12" ht="28.8" x14ac:dyDescent="0.55000000000000004">
      <c r="A3872" s="9" t="str">
        <f>HYPERLINK("PDF\FOIA-FWS-2020-00724-0003871.pdf","FOIA-FWS-2020-00724-0003871")</f>
        <v>FOIA-FWS-2020-00724-0003871</v>
      </c>
      <c r="B3872" s="3" t="s">
        <v>6129</v>
      </c>
      <c r="C3872" s="3" t="s">
        <v>3</v>
      </c>
      <c r="D3872" s="3" t="s">
        <v>33</v>
      </c>
      <c r="E3872" s="3" t="s">
        <v>6123</v>
      </c>
      <c r="F3872" s="4">
        <v>43882.752083333333</v>
      </c>
      <c r="G3872" s="3" t="s">
        <v>919</v>
      </c>
      <c r="H3872" s="3" t="s">
        <v>2022</v>
      </c>
      <c r="I3872" s="3" t="s">
        <v>7043</v>
      </c>
      <c r="J3872" s="3"/>
      <c r="K3872" s="3"/>
      <c r="L3872" s="5"/>
    </row>
    <row r="3873" spans="1:12" ht="28.8" x14ac:dyDescent="0.55000000000000004">
      <c r="A3873" s="9" t="str">
        <f>HYPERLINK("PDF\FOIA-FWS-2020-00724-0003872.pdf","FOIA-FWS-2020-00724-0003872")</f>
        <v>FOIA-FWS-2020-00724-0003872</v>
      </c>
      <c r="B3873" s="3" t="s">
        <v>6130</v>
      </c>
      <c r="C3873" s="3" t="s">
        <v>3</v>
      </c>
      <c r="D3873" s="3" t="s">
        <v>33</v>
      </c>
      <c r="E3873" s="3" t="s">
        <v>6102</v>
      </c>
      <c r="F3873" s="4">
        <v>43882.775694444441</v>
      </c>
      <c r="G3873" s="3" t="s">
        <v>919</v>
      </c>
      <c r="H3873" s="3" t="s">
        <v>2022</v>
      </c>
      <c r="I3873" s="3" t="s">
        <v>7043</v>
      </c>
      <c r="J3873" s="3"/>
      <c r="K3873" s="3"/>
      <c r="L3873" s="5"/>
    </row>
    <row r="3874" spans="1:12" ht="28.8" x14ac:dyDescent="0.55000000000000004">
      <c r="A3874" s="9" t="str">
        <f>HYPERLINK("PDF\FOIA-FWS-2020-00724-0003873.pdf","FOIA-FWS-2020-00724-0003873")</f>
        <v>FOIA-FWS-2020-00724-0003873</v>
      </c>
      <c r="B3874" s="3" t="s">
        <v>6131</v>
      </c>
      <c r="C3874" s="3" t="s">
        <v>3</v>
      </c>
      <c r="D3874" s="3" t="s">
        <v>33</v>
      </c>
      <c r="E3874" s="3" t="s">
        <v>6109</v>
      </c>
      <c r="F3874" s="4">
        <v>43882.781944444447</v>
      </c>
      <c r="G3874" s="3" t="s">
        <v>919</v>
      </c>
      <c r="H3874" s="3" t="s">
        <v>5800</v>
      </c>
      <c r="I3874" s="3" t="s">
        <v>7043</v>
      </c>
      <c r="J3874" s="3"/>
      <c r="K3874" s="3"/>
      <c r="L3874" s="5"/>
    </row>
    <row r="3875" spans="1:12" ht="28.8" x14ac:dyDescent="0.55000000000000004">
      <c r="A3875" s="9" t="str">
        <f>HYPERLINK("PDF\FOIA-FWS-2020-00724-0003874.pdf","FOIA-FWS-2020-00724-0003874")</f>
        <v>FOIA-FWS-2020-00724-0003874</v>
      </c>
      <c r="B3875" s="3" t="s">
        <v>6132</v>
      </c>
      <c r="C3875" s="3" t="s">
        <v>3</v>
      </c>
      <c r="D3875" s="3" t="s">
        <v>33</v>
      </c>
      <c r="E3875" s="3" t="s">
        <v>6133</v>
      </c>
      <c r="F3875" s="4">
        <v>43884</v>
      </c>
      <c r="G3875" s="3"/>
      <c r="H3875" s="3"/>
      <c r="I3875" s="3" t="s">
        <v>7043</v>
      </c>
      <c r="J3875" s="3"/>
      <c r="K3875" s="3"/>
      <c r="L3875" s="5"/>
    </row>
    <row r="3876" spans="1:12" ht="28.8" x14ac:dyDescent="0.55000000000000004">
      <c r="A3876" s="9" t="str">
        <f>HYPERLINK("PDF\FOIA-FWS-2020-00724-0003875.pdf","FOIA-FWS-2020-00724-0003875")</f>
        <v>FOIA-FWS-2020-00724-0003875</v>
      </c>
      <c r="B3876" s="3" t="s">
        <v>6134</v>
      </c>
      <c r="C3876" s="3" t="s">
        <v>3</v>
      </c>
      <c r="D3876" s="3" t="s">
        <v>33</v>
      </c>
      <c r="E3876" s="3" t="s">
        <v>6135</v>
      </c>
      <c r="F3876" s="4">
        <v>43884</v>
      </c>
      <c r="G3876" s="3"/>
      <c r="H3876" s="3"/>
      <c r="I3876" s="3" t="s">
        <v>7043</v>
      </c>
      <c r="J3876" s="3"/>
      <c r="K3876" s="3"/>
      <c r="L3876" s="5"/>
    </row>
    <row r="3877" spans="1:12" ht="28.8" x14ac:dyDescent="0.55000000000000004">
      <c r="A3877" s="9" t="str">
        <f>HYPERLINK("PDF\FOIA-FWS-2020-00724-0003876.pdf","FOIA-FWS-2020-00724-0003876")</f>
        <v>FOIA-FWS-2020-00724-0003876</v>
      </c>
      <c r="B3877" s="3" t="s">
        <v>6136</v>
      </c>
      <c r="C3877" s="3" t="s">
        <v>3</v>
      </c>
      <c r="D3877" s="3" t="s">
        <v>33</v>
      </c>
      <c r="E3877" s="3" t="s">
        <v>6137</v>
      </c>
      <c r="F3877" s="4">
        <v>43884</v>
      </c>
      <c r="G3877" s="3"/>
      <c r="H3877" s="3"/>
      <c r="I3877" s="3" t="s">
        <v>7043</v>
      </c>
      <c r="J3877" s="3"/>
      <c r="K3877" s="3"/>
      <c r="L3877" s="5"/>
    </row>
    <row r="3878" spans="1:12" ht="28.8" x14ac:dyDescent="0.55000000000000004">
      <c r="A3878" s="9" t="str">
        <f>HYPERLINK("PDF\FOIA-FWS-2020-00724-0003877.pdf","FOIA-FWS-2020-00724-0003877")</f>
        <v>FOIA-FWS-2020-00724-0003877</v>
      </c>
      <c r="B3878" s="3" t="s">
        <v>6138</v>
      </c>
      <c r="C3878" s="3" t="s">
        <v>3</v>
      </c>
      <c r="D3878" s="3" t="s">
        <v>33</v>
      </c>
      <c r="E3878" s="3" t="s">
        <v>6139</v>
      </c>
      <c r="F3878" s="4">
        <v>43884</v>
      </c>
      <c r="G3878" s="3"/>
      <c r="H3878" s="3"/>
      <c r="I3878" s="3" t="s">
        <v>7043</v>
      </c>
      <c r="J3878" s="3"/>
      <c r="K3878" s="3"/>
      <c r="L3878" s="5"/>
    </row>
    <row r="3879" spans="1:12" ht="28.8" x14ac:dyDescent="0.55000000000000004">
      <c r="A3879" s="9" t="str">
        <f>HYPERLINK("PDF\FOIA-FWS-2020-00724-0003878.pdf","FOIA-FWS-2020-00724-0003878")</f>
        <v>FOIA-FWS-2020-00724-0003878</v>
      </c>
      <c r="B3879" s="3" t="s">
        <v>6140</v>
      </c>
      <c r="C3879" s="3" t="s">
        <v>3</v>
      </c>
      <c r="D3879" s="3" t="s">
        <v>33</v>
      </c>
      <c r="E3879" s="3" t="s">
        <v>5976</v>
      </c>
      <c r="F3879" s="4">
        <v>43885.304166666669</v>
      </c>
      <c r="G3879" s="3" t="s">
        <v>4043</v>
      </c>
      <c r="H3879" s="3" t="s">
        <v>5800</v>
      </c>
      <c r="I3879" s="3" t="s">
        <v>7043</v>
      </c>
      <c r="J3879" s="3"/>
      <c r="K3879" s="3"/>
      <c r="L3879" s="5"/>
    </row>
    <row r="3880" spans="1:12" ht="28.8" x14ac:dyDescent="0.55000000000000004">
      <c r="A3880" s="9" t="str">
        <f>HYPERLINK("PDF\FOIA-FWS-2020-00724-0003879.pdf","FOIA-FWS-2020-00724-0003879")</f>
        <v>FOIA-FWS-2020-00724-0003879</v>
      </c>
      <c r="B3880" s="3" t="s">
        <v>6141</v>
      </c>
      <c r="C3880" s="3" t="s">
        <v>3</v>
      </c>
      <c r="D3880" s="3" t="s">
        <v>33</v>
      </c>
      <c r="E3880" s="3" t="s">
        <v>6142</v>
      </c>
      <c r="F3880" s="4">
        <v>43885.479166666664</v>
      </c>
      <c r="G3880" s="3" t="s">
        <v>5800</v>
      </c>
      <c r="H3880" s="3" t="s">
        <v>852</v>
      </c>
      <c r="I3880" s="3" t="s">
        <v>7043</v>
      </c>
      <c r="J3880" s="3"/>
      <c r="K3880" s="3"/>
      <c r="L3880" s="5"/>
    </row>
    <row r="3881" spans="1:12" ht="28.8" x14ac:dyDescent="0.55000000000000004">
      <c r="A3881" s="9" t="str">
        <f>HYPERLINK("PDF\FOIA-FWS-2020-00724-0003880.pdf","FOIA-FWS-2020-00724-0003880")</f>
        <v>FOIA-FWS-2020-00724-0003880</v>
      </c>
      <c r="B3881" s="3" t="s">
        <v>6141</v>
      </c>
      <c r="C3881" s="3" t="s">
        <v>234</v>
      </c>
      <c r="D3881" s="3" t="s">
        <v>33</v>
      </c>
      <c r="E3881" s="3" t="s">
        <v>6143</v>
      </c>
      <c r="F3881" s="4">
        <v>43885.479166666664</v>
      </c>
      <c r="G3881" s="3"/>
      <c r="H3881" s="3"/>
      <c r="I3881" s="3" t="s">
        <v>7043</v>
      </c>
      <c r="J3881" s="3"/>
      <c r="K3881" s="3"/>
      <c r="L3881" s="5"/>
    </row>
    <row r="3882" spans="1:12" ht="28.8" x14ac:dyDescent="0.55000000000000004">
      <c r="A3882" s="9" t="str">
        <f>HYPERLINK("PDF\FOIA-FWS-2020-00724-0003881.pdf","FOIA-FWS-2020-00724-0003881")</f>
        <v>FOIA-FWS-2020-00724-0003881</v>
      </c>
      <c r="B3882" s="3" t="s">
        <v>6141</v>
      </c>
      <c r="C3882" s="3" t="s">
        <v>234</v>
      </c>
      <c r="D3882" s="3" t="s">
        <v>33</v>
      </c>
      <c r="E3882" s="3" t="s">
        <v>6144</v>
      </c>
      <c r="F3882" s="4">
        <v>43885.479166666664</v>
      </c>
      <c r="G3882" s="3"/>
      <c r="H3882" s="3"/>
      <c r="I3882" s="3" t="s">
        <v>7043</v>
      </c>
      <c r="J3882" s="3"/>
      <c r="K3882" s="3"/>
      <c r="L3882" s="5"/>
    </row>
    <row r="3883" spans="1:12" ht="28.8" x14ac:dyDescent="0.55000000000000004">
      <c r="A3883" s="9" t="str">
        <f>HYPERLINK("PDF\FOIA-FWS-2020-00724-0003882.pdf","FOIA-FWS-2020-00724-0003882")</f>
        <v>FOIA-FWS-2020-00724-0003882</v>
      </c>
      <c r="B3883" s="3" t="s">
        <v>6145</v>
      </c>
      <c r="C3883" s="3" t="s">
        <v>3</v>
      </c>
      <c r="D3883" s="3" t="s">
        <v>33</v>
      </c>
      <c r="E3883" s="3" t="s">
        <v>5283</v>
      </c>
      <c r="F3883" s="4">
        <v>43885.484722222223</v>
      </c>
      <c r="G3883" s="3" t="s">
        <v>5800</v>
      </c>
      <c r="H3883" s="3" t="s">
        <v>4043</v>
      </c>
      <c r="I3883" s="3" t="s">
        <v>7043</v>
      </c>
      <c r="J3883" s="3"/>
      <c r="K3883" s="3"/>
      <c r="L3883" s="5"/>
    </row>
    <row r="3884" spans="1:12" ht="28.8" x14ac:dyDescent="0.55000000000000004">
      <c r="A3884" s="9" t="str">
        <f>HYPERLINK("PDF\FOIA-FWS-2020-00724-0003883.pdf","FOIA-FWS-2020-00724-0003883")</f>
        <v>FOIA-FWS-2020-00724-0003883</v>
      </c>
      <c r="B3884" s="3" t="s">
        <v>6146</v>
      </c>
      <c r="C3884" s="3" t="s">
        <v>3</v>
      </c>
      <c r="D3884" s="3" t="s">
        <v>33</v>
      </c>
      <c r="E3884" s="3" t="s">
        <v>6111</v>
      </c>
      <c r="F3884" s="4">
        <v>43885.770833333336</v>
      </c>
      <c r="G3884" s="3" t="s">
        <v>5274</v>
      </c>
      <c r="H3884" s="3" t="s">
        <v>6147</v>
      </c>
      <c r="I3884" s="3" t="s">
        <v>7043</v>
      </c>
      <c r="J3884" s="3"/>
      <c r="K3884" s="3"/>
      <c r="L3884" s="5"/>
    </row>
    <row r="3885" spans="1:12" ht="28.8" x14ac:dyDescent="0.55000000000000004">
      <c r="A3885" s="9" t="str">
        <f>HYPERLINK("PDF\FOIA-FWS-2020-00724-0003884.pdf","FOIA-FWS-2020-00724-0003884")</f>
        <v>FOIA-FWS-2020-00724-0003884</v>
      </c>
      <c r="B3885" s="3" t="s">
        <v>6148</v>
      </c>
      <c r="C3885" s="3" t="s">
        <v>3</v>
      </c>
      <c r="D3885" s="3" t="s">
        <v>33</v>
      </c>
      <c r="E3885" s="3" t="s">
        <v>3637</v>
      </c>
      <c r="F3885" s="4">
        <v>43885.823611111111</v>
      </c>
      <c r="G3885" s="3" t="s">
        <v>955</v>
      </c>
      <c r="H3885" s="3" t="s">
        <v>872</v>
      </c>
      <c r="I3885" s="3" t="s">
        <v>7043</v>
      </c>
      <c r="J3885" s="3"/>
      <c r="K3885" s="3"/>
      <c r="L3885" s="5"/>
    </row>
    <row r="3886" spans="1:12" ht="28.8" x14ac:dyDescent="0.55000000000000004">
      <c r="A3886" s="9" t="str">
        <f>HYPERLINK("PDF\FOIA-FWS-2020-00724-0003885.pdf","FOIA-FWS-2020-00724-0003885")</f>
        <v>FOIA-FWS-2020-00724-0003885</v>
      </c>
      <c r="B3886" s="3" t="s">
        <v>6149</v>
      </c>
      <c r="C3886" s="3" t="s">
        <v>3</v>
      </c>
      <c r="D3886" s="3" t="s">
        <v>33</v>
      </c>
      <c r="E3886" s="3" t="s">
        <v>6150</v>
      </c>
      <c r="F3886" s="4">
        <v>43886</v>
      </c>
      <c r="G3886" s="3"/>
      <c r="H3886" s="3"/>
      <c r="I3886" s="3" t="s">
        <v>7043</v>
      </c>
      <c r="J3886" s="3"/>
      <c r="K3886" s="3"/>
      <c r="L3886" s="5"/>
    </row>
    <row r="3887" spans="1:12" ht="28.8" x14ac:dyDescent="0.55000000000000004">
      <c r="A3887" s="9" t="str">
        <f>HYPERLINK("PDF\FOIA-FWS-2020-00724-0003886.pdf","FOIA-FWS-2020-00724-0003886")</f>
        <v>FOIA-FWS-2020-00724-0003886</v>
      </c>
      <c r="B3887" s="3" t="s">
        <v>6151</v>
      </c>
      <c r="C3887" s="3" t="s">
        <v>3</v>
      </c>
      <c r="D3887" s="3" t="s">
        <v>33</v>
      </c>
      <c r="E3887" s="3" t="s">
        <v>6152</v>
      </c>
      <c r="F3887" s="4">
        <v>43887</v>
      </c>
      <c r="G3887" s="3"/>
      <c r="H3887" s="3"/>
      <c r="I3887" s="3" t="s">
        <v>7043</v>
      </c>
      <c r="J3887" s="3"/>
      <c r="K3887" s="3"/>
      <c r="L3887" s="5"/>
    </row>
    <row r="3888" spans="1:12" ht="28.8" x14ac:dyDescent="0.55000000000000004">
      <c r="A3888" s="9" t="str">
        <f>HYPERLINK("PDF\FOIA-FWS-2020-00724-0003887.pdf","FOIA-FWS-2020-00724-0003887")</f>
        <v>FOIA-FWS-2020-00724-0003887</v>
      </c>
      <c r="B3888" s="3" t="s">
        <v>6153</v>
      </c>
      <c r="C3888" s="3" t="s">
        <v>3</v>
      </c>
      <c r="D3888" s="3" t="s">
        <v>33</v>
      </c>
      <c r="E3888" s="3" t="s">
        <v>6154</v>
      </c>
      <c r="F3888" s="4">
        <v>43887</v>
      </c>
      <c r="G3888" s="3"/>
      <c r="H3888" s="3"/>
      <c r="I3888" s="3" t="s">
        <v>7043</v>
      </c>
      <c r="J3888" s="3"/>
      <c r="K3888" s="3"/>
      <c r="L3888" s="5"/>
    </row>
    <row r="3889" spans="1:12" ht="28.8" x14ac:dyDescent="0.55000000000000004">
      <c r="A3889" s="9" t="str">
        <f>HYPERLINK("PDF\FOIA-FWS-2020-00724-0003888.pdf","FOIA-FWS-2020-00724-0003888")</f>
        <v>FOIA-FWS-2020-00724-0003888</v>
      </c>
      <c r="B3889" s="3" t="s">
        <v>6155</v>
      </c>
      <c r="C3889" s="3" t="s">
        <v>3</v>
      </c>
      <c r="D3889" s="3" t="s">
        <v>33</v>
      </c>
      <c r="E3889" s="3" t="s">
        <v>6156</v>
      </c>
      <c r="F3889" s="4">
        <v>43887.664583333331</v>
      </c>
      <c r="G3889" s="3" t="s">
        <v>861</v>
      </c>
      <c r="H3889" s="3" t="s">
        <v>1024</v>
      </c>
      <c r="I3889" s="3" t="s">
        <v>7043</v>
      </c>
      <c r="J3889" s="3"/>
      <c r="K3889" s="3"/>
      <c r="L3889" s="5"/>
    </row>
    <row r="3890" spans="1:12" ht="28.8" x14ac:dyDescent="0.55000000000000004">
      <c r="A3890" s="9" t="str">
        <f>HYPERLINK("PDF\FOIA-FWS-2020-00724-0003889.pdf","FOIA-FWS-2020-00724-0003889")</f>
        <v>FOIA-FWS-2020-00724-0003889</v>
      </c>
      <c r="B3890" s="3" t="s">
        <v>6155</v>
      </c>
      <c r="C3890" s="3" t="s">
        <v>234</v>
      </c>
      <c r="D3890" s="3" t="s">
        <v>33</v>
      </c>
      <c r="E3890" s="3" t="s">
        <v>3246</v>
      </c>
      <c r="F3890" s="4">
        <v>43887.664583333331</v>
      </c>
      <c r="G3890" s="3"/>
      <c r="H3890" s="3"/>
      <c r="I3890" s="3" t="s">
        <v>7043</v>
      </c>
      <c r="J3890" s="3"/>
      <c r="K3890" s="3"/>
      <c r="L3890" s="5"/>
    </row>
    <row r="3891" spans="1:12" ht="28.8" x14ac:dyDescent="0.55000000000000004">
      <c r="A3891" s="9" t="str">
        <f>HYPERLINK("PDF\FOIA-FWS-2020-00724-0003890.pdf","FOIA-FWS-2020-00724-0003890")</f>
        <v>FOIA-FWS-2020-00724-0003890</v>
      </c>
      <c r="B3891" s="3" t="s">
        <v>6157</v>
      </c>
      <c r="C3891" s="3" t="s">
        <v>3</v>
      </c>
      <c r="D3891" s="3" t="s">
        <v>33</v>
      </c>
      <c r="E3891" s="3" t="s">
        <v>5935</v>
      </c>
      <c r="F3891" s="4">
        <v>43887.797222222223</v>
      </c>
      <c r="G3891" s="3" t="s">
        <v>872</v>
      </c>
      <c r="H3891" s="3" t="s">
        <v>3123</v>
      </c>
      <c r="I3891" s="3" t="s">
        <v>7043</v>
      </c>
      <c r="J3891" s="3"/>
      <c r="K3891" s="3"/>
      <c r="L3891" s="5"/>
    </row>
    <row r="3892" spans="1:12" ht="28.8" x14ac:dyDescent="0.55000000000000004">
      <c r="A3892" s="9" t="str">
        <f>HYPERLINK("PDF\FOIA-FWS-2020-00724-0003891.pdf","FOIA-FWS-2020-00724-0003891")</f>
        <v>FOIA-FWS-2020-00724-0003891</v>
      </c>
      <c r="B3892" s="3" t="s">
        <v>6157</v>
      </c>
      <c r="C3892" s="3" t="s">
        <v>234</v>
      </c>
      <c r="D3892" s="3" t="s">
        <v>160</v>
      </c>
      <c r="E3892" s="3" t="s">
        <v>5761</v>
      </c>
      <c r="F3892" s="4">
        <v>43887.797222222223</v>
      </c>
      <c r="G3892" s="3"/>
      <c r="H3892" s="3"/>
      <c r="I3892" s="3" t="s">
        <v>7043</v>
      </c>
      <c r="J3892" s="3"/>
      <c r="K3892" s="3"/>
      <c r="L3892" s="5"/>
    </row>
    <row r="3893" spans="1:12" ht="28.8" x14ac:dyDescent="0.55000000000000004">
      <c r="A3893" s="9" t="str">
        <f>HYPERLINK("PDF\FOIA-FWS-2020-00724-0003892.pdf","FOIA-FWS-2020-00724-0003892")</f>
        <v>FOIA-FWS-2020-00724-0003892</v>
      </c>
      <c r="B3893" s="3" t="s">
        <v>6158</v>
      </c>
      <c r="C3893" s="3" t="s">
        <v>3</v>
      </c>
      <c r="D3893" s="3" t="s">
        <v>33</v>
      </c>
      <c r="E3893" s="3" t="s">
        <v>6159</v>
      </c>
      <c r="F3893" s="4">
        <v>43887.897916666669</v>
      </c>
      <c r="G3893" s="3" t="s">
        <v>1516</v>
      </c>
      <c r="H3893" s="3" t="s">
        <v>1119</v>
      </c>
      <c r="I3893" s="3" t="s">
        <v>7043</v>
      </c>
      <c r="J3893" s="3"/>
      <c r="K3893" s="3"/>
      <c r="L3893" s="5"/>
    </row>
    <row r="3894" spans="1:12" ht="28.8" x14ac:dyDescent="0.55000000000000004">
      <c r="A3894" s="9" t="str">
        <f>HYPERLINK("PDF\FOIA-FWS-2020-00724-0003893.pdf","FOIA-FWS-2020-00724-0003893")</f>
        <v>FOIA-FWS-2020-00724-0003893</v>
      </c>
      <c r="B3894" s="3" t="s">
        <v>6160</v>
      </c>
      <c r="C3894" s="3" t="s">
        <v>3</v>
      </c>
      <c r="D3894" s="3" t="s">
        <v>38</v>
      </c>
      <c r="E3894" s="3" t="s">
        <v>6161</v>
      </c>
      <c r="F3894" s="4">
        <v>43888</v>
      </c>
      <c r="G3894" s="3"/>
      <c r="H3894" s="3"/>
      <c r="I3894" s="3" t="s">
        <v>7043</v>
      </c>
      <c r="J3894" s="3"/>
      <c r="K3894" s="3"/>
      <c r="L3894" s="5"/>
    </row>
    <row r="3895" spans="1:12" ht="43.2" x14ac:dyDescent="0.55000000000000004">
      <c r="A3895" s="9" t="str">
        <f>HYPERLINK("PDF\FOIA-FWS-2020-00724-0003894.pdf","FOIA-FWS-2020-00724-0003894")</f>
        <v>FOIA-FWS-2020-00724-0003894</v>
      </c>
      <c r="B3895" s="3" t="s">
        <v>6162</v>
      </c>
      <c r="C3895" s="3" t="s">
        <v>3</v>
      </c>
      <c r="D3895" s="3" t="s">
        <v>33</v>
      </c>
      <c r="E3895" s="3" t="s">
        <v>6114</v>
      </c>
      <c r="F3895" s="4">
        <v>43888.634722222225</v>
      </c>
      <c r="G3895" s="3" t="s">
        <v>5800</v>
      </c>
      <c r="H3895" s="3" t="s">
        <v>6163</v>
      </c>
      <c r="I3895" s="3" t="s">
        <v>7043</v>
      </c>
      <c r="J3895" s="3"/>
      <c r="K3895" s="3"/>
      <c r="L3895" s="5"/>
    </row>
    <row r="3896" spans="1:12" ht="72" x14ac:dyDescent="0.55000000000000004">
      <c r="A3896" s="9" t="str">
        <f>HYPERLINK("PDF\FOIA-FWS-2020-00724-0003895.pdf","FOIA-FWS-2020-00724-0003895")</f>
        <v>FOIA-FWS-2020-00724-0003895</v>
      </c>
      <c r="B3896" s="3" t="s">
        <v>6164</v>
      </c>
      <c r="C3896" s="3" t="s">
        <v>3</v>
      </c>
      <c r="D3896" s="3" t="s">
        <v>33</v>
      </c>
      <c r="E3896" s="3" t="s">
        <v>6165</v>
      </c>
      <c r="F3896" s="4">
        <v>43888.665277777778</v>
      </c>
      <c r="G3896" s="3" t="s">
        <v>1392</v>
      </c>
      <c r="H3896" s="3" t="s">
        <v>3571</v>
      </c>
      <c r="I3896" s="3" t="s">
        <v>7043</v>
      </c>
      <c r="J3896" s="3"/>
      <c r="K3896" s="3"/>
      <c r="L3896" s="5"/>
    </row>
    <row r="3897" spans="1:12" ht="28.8" x14ac:dyDescent="0.55000000000000004">
      <c r="A3897" s="9" t="str">
        <f>HYPERLINK("PDF\FOIA-FWS-2020-00724-0003896.pdf","FOIA-FWS-2020-00724-0003896")</f>
        <v>FOIA-FWS-2020-00724-0003896</v>
      </c>
      <c r="B3897" s="3" t="s">
        <v>6166</v>
      </c>
      <c r="C3897" s="3" t="s">
        <v>3</v>
      </c>
      <c r="D3897" s="3" t="s">
        <v>33</v>
      </c>
      <c r="E3897" s="3" t="s">
        <v>6167</v>
      </c>
      <c r="F3897" s="4">
        <v>43888.772222222222</v>
      </c>
      <c r="G3897" s="3" t="s">
        <v>1119</v>
      </c>
      <c r="H3897" s="3" t="s">
        <v>872</v>
      </c>
      <c r="I3897" s="3" t="s">
        <v>7043</v>
      </c>
      <c r="J3897" s="3"/>
      <c r="K3897" s="3"/>
      <c r="L3897" s="5"/>
    </row>
    <row r="3898" spans="1:12" ht="100.8" x14ac:dyDescent="0.55000000000000004">
      <c r="A3898" s="9" t="str">
        <f>HYPERLINK("PDF\FOIA-FWS-2020-00724-0003897.pdf","FOIA-FWS-2020-00724-0003897")</f>
        <v>FOIA-FWS-2020-00724-0003897</v>
      </c>
      <c r="B3898" s="3" t="s">
        <v>6168</v>
      </c>
      <c r="C3898" s="3" t="s">
        <v>3</v>
      </c>
      <c r="D3898" s="3" t="s">
        <v>33</v>
      </c>
      <c r="E3898" s="3" t="s">
        <v>6170</v>
      </c>
      <c r="F3898" s="4">
        <v>43888.831250000003</v>
      </c>
      <c r="G3898" s="3" t="s">
        <v>872</v>
      </c>
      <c r="H3898" s="3" t="s">
        <v>6169</v>
      </c>
      <c r="I3898" s="3" t="s">
        <v>7043</v>
      </c>
      <c r="J3898" s="3"/>
      <c r="K3898" s="3"/>
      <c r="L3898" s="5"/>
    </row>
    <row r="3899" spans="1:12" ht="28.8" x14ac:dyDescent="0.55000000000000004">
      <c r="A3899" s="9" t="str">
        <f>HYPERLINK("PDF\FOIA-FWS-2020-00724-0003898.pdf","FOIA-FWS-2020-00724-0003898")</f>
        <v>FOIA-FWS-2020-00724-0003898</v>
      </c>
      <c r="B3899" s="3" t="s">
        <v>6171</v>
      </c>
      <c r="C3899" s="3" t="s">
        <v>3</v>
      </c>
      <c r="D3899" s="3" t="s">
        <v>33</v>
      </c>
      <c r="E3899" s="3" t="s">
        <v>6172</v>
      </c>
      <c r="F3899" s="4">
        <v>43889</v>
      </c>
      <c r="G3899" s="3"/>
      <c r="H3899" s="3"/>
      <c r="I3899" s="3" t="s">
        <v>7043</v>
      </c>
      <c r="J3899" s="3"/>
      <c r="K3899" s="3"/>
      <c r="L3899" s="5"/>
    </row>
    <row r="3900" spans="1:12" ht="28.8" x14ac:dyDescent="0.55000000000000004">
      <c r="A3900" s="9" t="str">
        <f>HYPERLINK("PDF\FOIA-FWS-2020-00724-0003899.pdf","FOIA-FWS-2020-00724-0003899")</f>
        <v>FOIA-FWS-2020-00724-0003899</v>
      </c>
      <c r="B3900" s="3" t="s">
        <v>6173</v>
      </c>
      <c r="C3900" s="3" t="s">
        <v>3</v>
      </c>
      <c r="D3900" s="3" t="s">
        <v>33</v>
      </c>
      <c r="E3900" s="3" t="s">
        <v>6174</v>
      </c>
      <c r="F3900" s="4">
        <v>43889</v>
      </c>
      <c r="G3900" s="3"/>
      <c r="H3900" s="3"/>
      <c r="I3900" s="3" t="s">
        <v>7043</v>
      </c>
      <c r="J3900" s="3"/>
      <c r="K3900" s="3"/>
      <c r="L3900" s="5"/>
    </row>
    <row r="3901" spans="1:12" ht="28.8" x14ac:dyDescent="0.55000000000000004">
      <c r="A3901" s="9" t="str">
        <f>HYPERLINK("PDF\FOIA-FWS-2020-00724-0003900.pdf","FOIA-FWS-2020-00724-0003900")</f>
        <v>FOIA-FWS-2020-00724-0003900</v>
      </c>
      <c r="B3901" s="3" t="s">
        <v>6175</v>
      </c>
      <c r="C3901" s="3" t="s">
        <v>3</v>
      </c>
      <c r="D3901" s="3" t="s">
        <v>33</v>
      </c>
      <c r="E3901" s="3" t="s">
        <v>6176</v>
      </c>
      <c r="F3901" s="4">
        <v>43889</v>
      </c>
      <c r="G3901" s="3"/>
      <c r="H3901" s="3"/>
      <c r="I3901" s="3" t="s">
        <v>7043</v>
      </c>
      <c r="J3901" s="3"/>
      <c r="K3901" s="3"/>
      <c r="L3901" s="5"/>
    </row>
    <row r="3902" spans="1:12" ht="28.8" x14ac:dyDescent="0.55000000000000004">
      <c r="A3902" s="9" t="str">
        <f>HYPERLINK("PDF\FOIA-FWS-2020-00724-0003901.pdf","FOIA-FWS-2020-00724-0003901")</f>
        <v>FOIA-FWS-2020-00724-0003901</v>
      </c>
      <c r="B3902" s="3" t="s">
        <v>6177</v>
      </c>
      <c r="C3902" s="3" t="s">
        <v>3</v>
      </c>
      <c r="D3902" s="3" t="s">
        <v>33</v>
      </c>
      <c r="E3902" s="3" t="s">
        <v>6178</v>
      </c>
      <c r="F3902" s="4">
        <v>43889</v>
      </c>
      <c r="G3902" s="3"/>
      <c r="H3902" s="3"/>
      <c r="I3902" s="3" t="s">
        <v>7043</v>
      </c>
      <c r="J3902" s="3"/>
      <c r="K3902" s="3"/>
      <c r="L3902" s="5"/>
    </row>
    <row r="3903" spans="1:12" ht="72" x14ac:dyDescent="0.55000000000000004">
      <c r="A3903" s="9" t="str">
        <f>HYPERLINK("PDF\FOIA-FWS-2020-00724-0003902.pdf","FOIA-FWS-2020-00724-0003902")</f>
        <v>FOIA-FWS-2020-00724-0003902</v>
      </c>
      <c r="B3903" s="3" t="s">
        <v>6179</v>
      </c>
      <c r="C3903" s="3" t="s">
        <v>3</v>
      </c>
      <c r="D3903" s="3" t="s">
        <v>33</v>
      </c>
      <c r="E3903" s="3" t="s">
        <v>6181</v>
      </c>
      <c r="F3903" s="4">
        <v>43889.540277777778</v>
      </c>
      <c r="G3903" s="3" t="s">
        <v>4977</v>
      </c>
      <c r="H3903" s="3" t="s">
        <v>6180</v>
      </c>
      <c r="I3903" s="3" t="s">
        <v>7043</v>
      </c>
      <c r="J3903" s="3"/>
      <c r="K3903" s="3"/>
      <c r="L3903" s="5"/>
    </row>
    <row r="3904" spans="1:12" ht="28.8" x14ac:dyDescent="0.55000000000000004">
      <c r="A3904" s="9" t="str">
        <f>HYPERLINK("PDF\FOIA-FWS-2020-00724-0003903.pdf","FOIA-FWS-2020-00724-0003903")</f>
        <v>FOIA-FWS-2020-00724-0003903</v>
      </c>
      <c r="B3904" s="3" t="s">
        <v>6179</v>
      </c>
      <c r="C3904" s="3" t="s">
        <v>234</v>
      </c>
      <c r="D3904" s="3" t="s">
        <v>38</v>
      </c>
      <c r="E3904" s="3" t="s">
        <v>6182</v>
      </c>
      <c r="F3904" s="4">
        <v>43889.540277777778</v>
      </c>
      <c r="G3904" s="3"/>
      <c r="H3904" s="3"/>
      <c r="I3904" s="3" t="s">
        <v>7043</v>
      </c>
      <c r="J3904" s="3"/>
      <c r="K3904" s="3"/>
      <c r="L3904" s="5"/>
    </row>
    <row r="3905" spans="1:12" ht="28.8" x14ac:dyDescent="0.55000000000000004">
      <c r="A3905" s="9" t="str">
        <f>HYPERLINK("PDF\FOIA-FWS-2020-00724-0003904.pdf","FOIA-FWS-2020-00724-0003904")</f>
        <v>FOIA-FWS-2020-00724-0003904</v>
      </c>
      <c r="B3905" s="3" t="s">
        <v>6179</v>
      </c>
      <c r="C3905" s="3" t="s">
        <v>234</v>
      </c>
      <c r="D3905" s="3" t="s">
        <v>38</v>
      </c>
      <c r="E3905" s="3" t="s">
        <v>6183</v>
      </c>
      <c r="F3905" s="4">
        <v>43889.540277777778</v>
      </c>
      <c r="G3905" s="3"/>
      <c r="H3905" s="3"/>
      <c r="I3905" s="3" t="s">
        <v>7043</v>
      </c>
      <c r="J3905" s="3"/>
      <c r="K3905" s="3"/>
      <c r="L3905" s="5"/>
    </row>
    <row r="3906" spans="1:12" ht="28.8" x14ac:dyDescent="0.55000000000000004">
      <c r="A3906" s="9" t="str">
        <f>HYPERLINK("PDF\FOIA-FWS-2020-00724-0003905.pdf","FOIA-FWS-2020-00724-0003905")</f>
        <v>FOIA-FWS-2020-00724-0003905</v>
      </c>
      <c r="B3906" s="3" t="s">
        <v>6184</v>
      </c>
      <c r="C3906" s="3" t="s">
        <v>3</v>
      </c>
      <c r="D3906" s="3" t="s">
        <v>33</v>
      </c>
      <c r="E3906" s="3" t="s">
        <v>6185</v>
      </c>
      <c r="F3906" s="4">
        <v>43889.544444444444</v>
      </c>
      <c r="G3906" s="3" t="s">
        <v>955</v>
      </c>
      <c r="H3906" s="3" t="s">
        <v>1119</v>
      </c>
      <c r="I3906" s="3" t="s">
        <v>7043</v>
      </c>
      <c r="J3906" s="3"/>
      <c r="K3906" s="3"/>
      <c r="L3906" s="5"/>
    </row>
    <row r="3907" spans="1:12" ht="28.8" x14ac:dyDescent="0.55000000000000004">
      <c r="A3907" s="9" t="str">
        <f>HYPERLINK("PDF\FOIA-FWS-2020-00724-0003906.pdf","FOIA-FWS-2020-00724-0003906")</f>
        <v>FOIA-FWS-2020-00724-0003906</v>
      </c>
      <c r="B3907" s="3" t="s">
        <v>6184</v>
      </c>
      <c r="C3907" s="3" t="s">
        <v>234</v>
      </c>
      <c r="D3907" s="3" t="s">
        <v>33</v>
      </c>
      <c r="E3907" s="3" t="s">
        <v>6186</v>
      </c>
      <c r="F3907" s="4">
        <v>43889.544444444444</v>
      </c>
      <c r="G3907" s="3"/>
      <c r="H3907" s="3"/>
      <c r="I3907" s="3" t="s">
        <v>7043</v>
      </c>
      <c r="J3907" s="3"/>
      <c r="K3907" s="3"/>
      <c r="L3907" s="5"/>
    </row>
    <row r="3908" spans="1:12" ht="43.2" x14ac:dyDescent="0.55000000000000004">
      <c r="A3908" s="9" t="str">
        <f>HYPERLINK("PDF\FOIA-FWS-2020-00724-0003907.pdf","FOIA-FWS-2020-00724-0003907")</f>
        <v>FOIA-FWS-2020-00724-0003907</v>
      </c>
      <c r="B3908" s="3" t="s">
        <v>6187</v>
      </c>
      <c r="C3908" s="3" t="s">
        <v>3</v>
      </c>
      <c r="D3908" s="3" t="s">
        <v>33</v>
      </c>
      <c r="E3908" s="3" t="s">
        <v>6190</v>
      </c>
      <c r="F3908" s="4">
        <v>43889.59097222222</v>
      </c>
      <c r="G3908" s="3" t="s">
        <v>6188</v>
      </c>
      <c r="H3908" s="3" t="s">
        <v>6189</v>
      </c>
      <c r="I3908" s="3" t="s">
        <v>7043</v>
      </c>
      <c r="J3908" s="3"/>
      <c r="K3908" s="3"/>
      <c r="L3908" s="5"/>
    </row>
    <row r="3909" spans="1:12" ht="28.8" x14ac:dyDescent="0.55000000000000004">
      <c r="A3909" s="9" t="str">
        <f>HYPERLINK("PDF\FOIA-FWS-2020-00724-0003908.pdf","FOIA-FWS-2020-00724-0003908")</f>
        <v>FOIA-FWS-2020-00724-0003908</v>
      </c>
      <c r="B3909" s="3" t="s">
        <v>6187</v>
      </c>
      <c r="C3909" s="3" t="s">
        <v>234</v>
      </c>
      <c r="D3909" s="3" t="s">
        <v>33</v>
      </c>
      <c r="E3909" s="3" t="s">
        <v>6182</v>
      </c>
      <c r="F3909" s="4">
        <v>43889.59097222222</v>
      </c>
      <c r="G3909" s="3"/>
      <c r="H3909" s="3"/>
      <c r="I3909" s="3" t="s">
        <v>7043</v>
      </c>
      <c r="J3909" s="3"/>
      <c r="K3909" s="3"/>
      <c r="L3909" s="5"/>
    </row>
    <row r="3910" spans="1:12" ht="28.8" x14ac:dyDescent="0.55000000000000004">
      <c r="A3910" s="9" t="str">
        <f>HYPERLINK("PDF\FOIA-FWS-2020-00724-0003909.pdf","FOIA-FWS-2020-00724-0003909")</f>
        <v>FOIA-FWS-2020-00724-0003909</v>
      </c>
      <c r="B3910" s="3" t="s">
        <v>6187</v>
      </c>
      <c r="C3910" s="3" t="s">
        <v>234</v>
      </c>
      <c r="D3910" s="3" t="s">
        <v>33</v>
      </c>
      <c r="E3910" s="3" t="s">
        <v>6191</v>
      </c>
      <c r="F3910" s="4">
        <v>43889.59097222222</v>
      </c>
      <c r="G3910" s="3"/>
      <c r="H3910" s="3"/>
      <c r="I3910" s="3" t="s">
        <v>7043</v>
      </c>
      <c r="J3910" s="3"/>
      <c r="K3910" s="3"/>
      <c r="L3910" s="5"/>
    </row>
    <row r="3911" spans="1:12" ht="28.8" x14ac:dyDescent="0.55000000000000004">
      <c r="A3911" s="9" t="str">
        <f>HYPERLINK("PDF\FOIA-FWS-2020-00724-0003910.pdf","FOIA-FWS-2020-00724-0003910")</f>
        <v>FOIA-FWS-2020-00724-0003910</v>
      </c>
      <c r="B3911" s="3" t="s">
        <v>6192</v>
      </c>
      <c r="C3911" s="3" t="s">
        <v>3</v>
      </c>
      <c r="D3911" s="3" t="s">
        <v>33</v>
      </c>
      <c r="E3911" s="3" t="s">
        <v>6193</v>
      </c>
      <c r="F3911" s="4">
        <v>43889.636805555558</v>
      </c>
      <c r="G3911" s="3" t="s">
        <v>1772</v>
      </c>
      <c r="H3911" s="3" t="s">
        <v>955</v>
      </c>
      <c r="I3911" s="3" t="s">
        <v>7043</v>
      </c>
      <c r="J3911" s="3"/>
      <c r="K3911" s="3"/>
      <c r="L3911" s="5"/>
    </row>
    <row r="3912" spans="1:12" ht="43.2" x14ac:dyDescent="0.55000000000000004">
      <c r="A3912" s="9" t="str">
        <f>HYPERLINK("PDF\FOIA-FWS-2020-00724-0003911.pdf","FOIA-FWS-2020-00724-0003911")</f>
        <v>FOIA-FWS-2020-00724-0003911</v>
      </c>
      <c r="B3912" s="3" t="s">
        <v>6194</v>
      </c>
      <c r="C3912" s="3" t="s">
        <v>3</v>
      </c>
      <c r="D3912" s="3" t="s">
        <v>33</v>
      </c>
      <c r="E3912" s="3" t="s">
        <v>6196</v>
      </c>
      <c r="F3912" s="4">
        <v>43889.729166666664</v>
      </c>
      <c r="G3912" s="3" t="s">
        <v>1719</v>
      </c>
      <c r="H3912" s="3" t="s">
        <v>6195</v>
      </c>
      <c r="I3912" s="3" t="s">
        <v>7043</v>
      </c>
      <c r="J3912" s="3"/>
      <c r="K3912" s="3"/>
      <c r="L3912" s="5"/>
    </row>
    <row r="3913" spans="1:12" ht="28.8" x14ac:dyDescent="0.55000000000000004">
      <c r="A3913" s="9" t="str">
        <f>HYPERLINK("PDF\FOIA-FWS-2020-00724-0003912.pdf","FOIA-FWS-2020-00724-0003912")</f>
        <v>FOIA-FWS-2020-00724-0003912</v>
      </c>
      <c r="B3913" s="3" t="s">
        <v>6194</v>
      </c>
      <c r="C3913" s="3" t="s">
        <v>234</v>
      </c>
      <c r="D3913" s="3" t="s">
        <v>33</v>
      </c>
      <c r="E3913" s="3" t="s">
        <v>6197</v>
      </c>
      <c r="F3913" s="4">
        <v>43889.729166666664</v>
      </c>
      <c r="G3913" s="3"/>
      <c r="H3913" s="3"/>
      <c r="I3913" s="3" t="s">
        <v>7043</v>
      </c>
      <c r="J3913" s="3"/>
      <c r="K3913" s="3"/>
      <c r="L3913" s="5"/>
    </row>
    <row r="3914" spans="1:12" ht="28.8" x14ac:dyDescent="0.55000000000000004">
      <c r="A3914" s="9" t="str">
        <f>HYPERLINK("PDF\FOIA-FWS-2020-00724-0003913.pdf","FOIA-FWS-2020-00724-0003913")</f>
        <v>FOIA-FWS-2020-00724-0003913</v>
      </c>
      <c r="B3914" s="3" t="s">
        <v>6194</v>
      </c>
      <c r="C3914" s="3" t="s">
        <v>234</v>
      </c>
      <c r="D3914" s="3" t="s">
        <v>33</v>
      </c>
      <c r="E3914" s="3" t="s">
        <v>6198</v>
      </c>
      <c r="F3914" s="4">
        <v>43889.729166666664</v>
      </c>
      <c r="G3914" s="3"/>
      <c r="H3914" s="3"/>
      <c r="I3914" s="3" t="s">
        <v>7043</v>
      </c>
      <c r="J3914" s="3"/>
      <c r="K3914" s="3"/>
      <c r="L3914" s="5"/>
    </row>
    <row r="3915" spans="1:12" ht="28.8" x14ac:dyDescent="0.55000000000000004">
      <c r="A3915" s="9" t="str">
        <f>HYPERLINK("PDF\FOIA-FWS-2020-00724-0003914.pdf","FOIA-FWS-2020-00724-0003914")</f>
        <v>FOIA-FWS-2020-00724-0003914</v>
      </c>
      <c r="B3915" s="3" t="s">
        <v>6199</v>
      </c>
      <c r="C3915" s="3" t="s">
        <v>3</v>
      </c>
      <c r="D3915" s="3" t="s">
        <v>33</v>
      </c>
      <c r="E3915" s="3" t="s">
        <v>6200</v>
      </c>
      <c r="F3915" s="4">
        <v>43889.760416666664</v>
      </c>
      <c r="G3915" s="3" t="s">
        <v>5800</v>
      </c>
      <c r="H3915" s="3" t="s">
        <v>1392</v>
      </c>
      <c r="I3915" s="3" t="s">
        <v>7043</v>
      </c>
      <c r="J3915" s="3"/>
      <c r="K3915" s="3"/>
      <c r="L3915" s="5"/>
    </row>
    <row r="3916" spans="1:12" ht="28.8" x14ac:dyDescent="0.55000000000000004">
      <c r="A3916" s="9" t="str">
        <f>HYPERLINK("PDF\FOIA-FWS-2020-00724-0003915.pdf","FOIA-FWS-2020-00724-0003915")</f>
        <v>FOIA-FWS-2020-00724-0003915</v>
      </c>
      <c r="B3916" s="3" t="s">
        <v>6199</v>
      </c>
      <c r="C3916" s="3" t="s">
        <v>234</v>
      </c>
      <c r="D3916" s="3" t="s">
        <v>33</v>
      </c>
      <c r="E3916" s="3" t="s">
        <v>6201</v>
      </c>
      <c r="F3916" s="4">
        <v>43889.760416666664</v>
      </c>
      <c r="G3916" s="3"/>
      <c r="H3916" s="3"/>
      <c r="I3916" s="3" t="s">
        <v>7043</v>
      </c>
      <c r="J3916" s="3"/>
      <c r="K3916" s="3"/>
      <c r="L3916" s="5"/>
    </row>
    <row r="3917" spans="1:12" ht="57.6" x14ac:dyDescent="0.55000000000000004">
      <c r="A3917" s="9" t="str">
        <f>HYPERLINK("PDF\FOIA-FWS-2020-00724-0003916.pdf","FOIA-FWS-2020-00724-0003916")</f>
        <v>FOIA-FWS-2020-00724-0003916</v>
      </c>
      <c r="B3917" s="3" t="s">
        <v>6202</v>
      </c>
      <c r="C3917" s="3" t="s">
        <v>3</v>
      </c>
      <c r="D3917" s="3" t="s">
        <v>33</v>
      </c>
      <c r="E3917" s="3" t="s">
        <v>6204</v>
      </c>
      <c r="F3917" s="4">
        <v>43889.79583333333</v>
      </c>
      <c r="G3917" s="3" t="s">
        <v>5800</v>
      </c>
      <c r="H3917" s="3" t="s">
        <v>6203</v>
      </c>
      <c r="I3917" s="3" t="s">
        <v>7043</v>
      </c>
      <c r="J3917" s="3"/>
      <c r="K3917" s="3"/>
      <c r="L3917" s="5"/>
    </row>
    <row r="3918" spans="1:12" ht="28.8" x14ac:dyDescent="0.55000000000000004">
      <c r="A3918" s="9" t="str">
        <f>HYPERLINK("PDF\FOIA-FWS-2020-00724-0003917.pdf","FOIA-FWS-2020-00724-0003917")</f>
        <v>FOIA-FWS-2020-00724-0003917</v>
      </c>
      <c r="B3918" s="3" t="s">
        <v>6202</v>
      </c>
      <c r="C3918" s="3" t="s">
        <v>234</v>
      </c>
      <c r="D3918" s="3" t="s">
        <v>33</v>
      </c>
      <c r="E3918" s="3" t="s">
        <v>6178</v>
      </c>
      <c r="F3918" s="4">
        <v>43889.79583333333</v>
      </c>
      <c r="G3918" s="3"/>
      <c r="H3918" s="3"/>
      <c r="I3918" s="3" t="s">
        <v>7043</v>
      </c>
      <c r="J3918" s="3"/>
      <c r="K3918" s="3"/>
      <c r="L3918" s="5"/>
    </row>
    <row r="3919" spans="1:12" ht="28.8" x14ac:dyDescent="0.55000000000000004">
      <c r="A3919" s="9" t="str">
        <f>HYPERLINK("PDF\FOIA-FWS-2020-00724-0003918.pdf","FOIA-FWS-2020-00724-0003918")</f>
        <v>FOIA-FWS-2020-00724-0003918</v>
      </c>
      <c r="B3919" s="3" t="s">
        <v>6205</v>
      </c>
      <c r="C3919" s="3" t="s">
        <v>3</v>
      </c>
      <c r="D3919" s="3" t="s">
        <v>33</v>
      </c>
      <c r="E3919" s="3" t="s">
        <v>6207</v>
      </c>
      <c r="F3919" s="4">
        <v>43889.802777777775</v>
      </c>
      <c r="G3919" s="3" t="s">
        <v>872</v>
      </c>
      <c r="H3919" s="3" t="s">
        <v>6206</v>
      </c>
      <c r="I3919" s="3" t="s">
        <v>7043</v>
      </c>
      <c r="J3919" s="3"/>
      <c r="K3919" s="3"/>
      <c r="L3919" s="5"/>
    </row>
    <row r="3920" spans="1:12" ht="28.8" x14ac:dyDescent="0.55000000000000004">
      <c r="A3920" s="9" t="str">
        <f>HYPERLINK("PDF\FOIA-FWS-2020-00724-0003919.pdf","FOIA-FWS-2020-00724-0003919")</f>
        <v>FOIA-FWS-2020-00724-0003919</v>
      </c>
      <c r="B3920" s="3" t="s">
        <v>6205</v>
      </c>
      <c r="C3920" s="3" t="s">
        <v>234</v>
      </c>
      <c r="D3920" s="3" t="s">
        <v>33</v>
      </c>
      <c r="E3920" s="3" t="s">
        <v>6178</v>
      </c>
      <c r="F3920" s="4">
        <v>43889.802777777775</v>
      </c>
      <c r="G3920" s="3"/>
      <c r="H3920" s="3"/>
      <c r="I3920" s="3" t="s">
        <v>7043</v>
      </c>
      <c r="J3920" s="3"/>
      <c r="K3920" s="3"/>
      <c r="L3920" s="5"/>
    </row>
    <row r="3921" spans="1:12" ht="28.8" x14ac:dyDescent="0.55000000000000004">
      <c r="A3921" s="9" t="str">
        <f>HYPERLINK("PDF\FOIA-FWS-2020-00724-0003920.pdf","FOIA-FWS-2020-00724-0003920")</f>
        <v>FOIA-FWS-2020-00724-0003920</v>
      </c>
      <c r="B3921" s="3" t="s">
        <v>6208</v>
      </c>
      <c r="C3921" s="3" t="s">
        <v>3</v>
      </c>
      <c r="D3921" s="3" t="s">
        <v>38</v>
      </c>
      <c r="E3921" s="3" t="s">
        <v>6209</v>
      </c>
      <c r="F3921" s="4">
        <v>43891</v>
      </c>
      <c r="G3921" s="3"/>
      <c r="H3921" s="3"/>
      <c r="I3921" s="3" t="s">
        <v>7043</v>
      </c>
      <c r="J3921" s="3"/>
      <c r="K3921" s="3"/>
      <c r="L3921" s="5"/>
    </row>
    <row r="3922" spans="1:12" ht="28.8" x14ac:dyDescent="0.55000000000000004">
      <c r="A3922" s="9" t="str">
        <f>HYPERLINK("PDF\FOIA-FWS-2020-00724-0003921.pdf","FOIA-FWS-2020-00724-0003921")</f>
        <v>FOIA-FWS-2020-00724-0003921</v>
      </c>
      <c r="B3922" s="3" t="s">
        <v>6210</v>
      </c>
      <c r="C3922" s="3" t="s">
        <v>3</v>
      </c>
      <c r="D3922" s="3" t="s">
        <v>160</v>
      </c>
      <c r="E3922" s="3" t="s">
        <v>6211</v>
      </c>
      <c r="F3922" s="4">
        <v>43891</v>
      </c>
      <c r="G3922" s="3"/>
      <c r="H3922" s="3"/>
      <c r="I3922" s="3" t="s">
        <v>7043</v>
      </c>
      <c r="J3922" s="3"/>
      <c r="K3922" s="3"/>
      <c r="L3922" s="5"/>
    </row>
    <row r="3923" spans="1:12" ht="28.8" x14ac:dyDescent="0.55000000000000004">
      <c r="A3923" s="9" t="str">
        <f>HYPERLINK("PDF\FOIA-FWS-2020-00724-0003922.pdf","FOIA-FWS-2020-00724-0003922")</f>
        <v>FOIA-FWS-2020-00724-0003922</v>
      </c>
      <c r="B3923" s="3" t="s">
        <v>6212</v>
      </c>
      <c r="C3923" s="3" t="s">
        <v>3</v>
      </c>
      <c r="D3923" s="3" t="s">
        <v>38</v>
      </c>
      <c r="E3923" s="3" t="s">
        <v>6213</v>
      </c>
      <c r="F3923" s="4">
        <v>43891</v>
      </c>
      <c r="G3923" s="3"/>
      <c r="H3923" s="3"/>
      <c r="I3923" s="3" t="s">
        <v>7043</v>
      </c>
      <c r="J3923" s="3"/>
      <c r="K3923" s="3"/>
      <c r="L3923" s="5" t="str">
        <f>HYPERLINK("NATIVE_FILES\FOIA-FWS-2020-00724-0003922.xlsx","FOIA-FWS-2020-00724-0003922.xlsx")</f>
        <v>FOIA-FWS-2020-00724-0003922.xlsx</v>
      </c>
    </row>
    <row r="3924" spans="1:12" ht="28.8" x14ac:dyDescent="0.55000000000000004">
      <c r="A3924" s="9" t="str">
        <f>HYPERLINK("PDF\FOIA-FWS-2020-00724-0003923.pdf","FOIA-FWS-2020-00724-0003923")</f>
        <v>FOIA-FWS-2020-00724-0003923</v>
      </c>
      <c r="B3924" s="3" t="s">
        <v>6214</v>
      </c>
      <c r="C3924" s="3" t="s">
        <v>3</v>
      </c>
      <c r="D3924" s="3" t="s">
        <v>33</v>
      </c>
      <c r="E3924" s="3" t="s">
        <v>6215</v>
      </c>
      <c r="F3924" s="4">
        <v>43892</v>
      </c>
      <c r="G3924" s="3"/>
      <c r="H3924" s="3"/>
      <c r="I3924" s="3" t="s">
        <v>7043</v>
      </c>
      <c r="J3924" s="3"/>
      <c r="K3924" s="3"/>
      <c r="L3924" s="5"/>
    </row>
    <row r="3925" spans="1:12" ht="28.8" x14ac:dyDescent="0.55000000000000004">
      <c r="A3925" s="9" t="str">
        <f>HYPERLINK("PDF\FOIA-FWS-2020-00724-0003924.pdf","FOIA-FWS-2020-00724-0003924")</f>
        <v>FOIA-FWS-2020-00724-0003924</v>
      </c>
      <c r="B3925" s="3" t="s">
        <v>6216</v>
      </c>
      <c r="C3925" s="3" t="s">
        <v>3</v>
      </c>
      <c r="D3925" s="3" t="s">
        <v>33</v>
      </c>
      <c r="E3925" s="3" t="s">
        <v>6217</v>
      </c>
      <c r="F3925" s="4">
        <v>43892</v>
      </c>
      <c r="G3925" s="3"/>
      <c r="H3925" s="3"/>
      <c r="I3925" s="3" t="s">
        <v>7043</v>
      </c>
      <c r="J3925" s="3"/>
      <c r="K3925" s="3"/>
      <c r="L3925" s="5"/>
    </row>
    <row r="3926" spans="1:12" ht="28.8" x14ac:dyDescent="0.55000000000000004">
      <c r="A3926" s="9" t="str">
        <f>HYPERLINK("PDF\FOIA-FWS-2020-00724-0003925.pdf","FOIA-FWS-2020-00724-0003925")</f>
        <v>FOIA-FWS-2020-00724-0003925</v>
      </c>
      <c r="B3926" s="3" t="s">
        <v>6218</v>
      </c>
      <c r="C3926" s="3" t="s">
        <v>3</v>
      </c>
      <c r="D3926" s="3" t="s">
        <v>33</v>
      </c>
      <c r="E3926" s="3" t="s">
        <v>6219</v>
      </c>
      <c r="F3926" s="4">
        <v>43892</v>
      </c>
      <c r="G3926" s="3"/>
      <c r="H3926" s="3"/>
      <c r="I3926" s="3" t="s">
        <v>7043</v>
      </c>
      <c r="J3926" s="3"/>
      <c r="K3926" s="3"/>
      <c r="L3926" s="5"/>
    </row>
    <row r="3927" spans="1:12" ht="28.8" x14ac:dyDescent="0.55000000000000004">
      <c r="A3927" s="9" t="str">
        <f>HYPERLINK("PDF\FOIA-FWS-2020-00724-0003926.pdf","FOIA-FWS-2020-00724-0003926")</f>
        <v>FOIA-FWS-2020-00724-0003926</v>
      </c>
      <c r="B3927" s="3" t="s">
        <v>6220</v>
      </c>
      <c r="C3927" s="3" t="s">
        <v>3</v>
      </c>
      <c r="D3927" s="3" t="s">
        <v>33</v>
      </c>
      <c r="E3927" s="3" t="s">
        <v>6221</v>
      </c>
      <c r="F3927" s="4">
        <v>43892</v>
      </c>
      <c r="G3927" s="3"/>
      <c r="H3927" s="3"/>
      <c r="I3927" s="3" t="s">
        <v>7043</v>
      </c>
      <c r="J3927" s="3"/>
      <c r="K3927" s="3"/>
      <c r="L3927" s="5"/>
    </row>
    <row r="3928" spans="1:12" ht="28.8" x14ac:dyDescent="0.55000000000000004">
      <c r="A3928" s="9" t="str">
        <f>HYPERLINK("PDF\FOIA-FWS-2020-00724-0003927.pdf","FOIA-FWS-2020-00724-0003927")</f>
        <v>FOIA-FWS-2020-00724-0003927</v>
      </c>
      <c r="B3928" s="3" t="s">
        <v>6222</v>
      </c>
      <c r="C3928" s="3" t="s">
        <v>3</v>
      </c>
      <c r="D3928" s="3" t="s">
        <v>38</v>
      </c>
      <c r="E3928" s="3" t="s">
        <v>6223</v>
      </c>
      <c r="F3928" s="4">
        <v>43892</v>
      </c>
      <c r="G3928" s="3"/>
      <c r="H3928" s="3"/>
      <c r="I3928" s="3" t="s">
        <v>7043</v>
      </c>
      <c r="J3928" s="3"/>
      <c r="K3928" s="3"/>
      <c r="L3928" s="5"/>
    </row>
    <row r="3929" spans="1:12" ht="28.8" x14ac:dyDescent="0.55000000000000004">
      <c r="A3929" s="9" t="str">
        <f>HYPERLINK("PDF\FOIA-FWS-2020-00724-0003928.pdf","FOIA-FWS-2020-00724-0003928")</f>
        <v>FOIA-FWS-2020-00724-0003928</v>
      </c>
      <c r="B3929" s="3" t="s">
        <v>6224</v>
      </c>
      <c r="C3929" s="3" t="s">
        <v>3</v>
      </c>
      <c r="D3929" s="3" t="s">
        <v>38</v>
      </c>
      <c r="E3929" s="3" t="s">
        <v>6225</v>
      </c>
      <c r="F3929" s="4">
        <v>43892</v>
      </c>
      <c r="G3929" s="3"/>
      <c r="H3929" s="3"/>
      <c r="I3929" s="3" t="s">
        <v>7043</v>
      </c>
      <c r="J3929" s="3"/>
      <c r="K3929" s="3"/>
      <c r="L3929" s="5"/>
    </row>
    <row r="3930" spans="1:12" ht="28.8" x14ac:dyDescent="0.55000000000000004">
      <c r="A3930" s="9" t="str">
        <f>HYPERLINK("PDF\FOIA-FWS-2020-00724-0003929.pdf","FOIA-FWS-2020-00724-0003929")</f>
        <v>FOIA-FWS-2020-00724-0003929</v>
      </c>
      <c r="B3930" s="3" t="s">
        <v>6226</v>
      </c>
      <c r="C3930" s="3" t="s">
        <v>3</v>
      </c>
      <c r="D3930" s="3" t="s">
        <v>38</v>
      </c>
      <c r="E3930" s="3" t="s">
        <v>6227</v>
      </c>
      <c r="F3930" s="4">
        <v>43892</v>
      </c>
      <c r="G3930" s="3"/>
      <c r="H3930" s="3"/>
      <c r="I3930" s="3" t="s">
        <v>7043</v>
      </c>
      <c r="J3930" s="3"/>
      <c r="K3930" s="3"/>
      <c r="L3930" s="5"/>
    </row>
    <row r="3931" spans="1:12" ht="28.8" x14ac:dyDescent="0.55000000000000004">
      <c r="A3931" s="9" t="str">
        <f>HYPERLINK("PDF\FOIA-FWS-2020-00724-0003930.pdf","FOIA-FWS-2020-00724-0003930")</f>
        <v>FOIA-FWS-2020-00724-0003930</v>
      </c>
      <c r="B3931" s="3" t="s">
        <v>6228</v>
      </c>
      <c r="C3931" s="3" t="s">
        <v>3</v>
      </c>
      <c r="D3931" s="3" t="s">
        <v>38</v>
      </c>
      <c r="E3931" s="3" t="s">
        <v>6229</v>
      </c>
      <c r="F3931" s="4">
        <v>43892</v>
      </c>
      <c r="G3931" s="3"/>
      <c r="H3931" s="3"/>
      <c r="I3931" s="3" t="s">
        <v>7043</v>
      </c>
      <c r="J3931" s="3"/>
      <c r="K3931" s="3"/>
      <c r="L3931" s="5"/>
    </row>
    <row r="3932" spans="1:12" ht="28.8" x14ac:dyDescent="0.55000000000000004">
      <c r="A3932" s="9" t="str">
        <f>HYPERLINK("PDF\FOIA-FWS-2020-00724-0003931.pdf","FOIA-FWS-2020-00724-0003931")</f>
        <v>FOIA-FWS-2020-00724-0003931</v>
      </c>
      <c r="B3932" s="3" t="s">
        <v>6230</v>
      </c>
      <c r="C3932" s="3" t="s">
        <v>3</v>
      </c>
      <c r="D3932" s="3" t="s">
        <v>38</v>
      </c>
      <c r="E3932" s="3" t="s">
        <v>6231</v>
      </c>
      <c r="F3932" s="4">
        <v>43892</v>
      </c>
      <c r="G3932" s="3"/>
      <c r="H3932" s="3"/>
      <c r="I3932" s="3" t="s">
        <v>7043</v>
      </c>
      <c r="J3932" s="3"/>
      <c r="K3932" s="3"/>
      <c r="L3932" s="5"/>
    </row>
    <row r="3933" spans="1:12" ht="28.8" x14ac:dyDescent="0.55000000000000004">
      <c r="A3933" s="9" t="str">
        <f>HYPERLINK("PDF\FOIA-FWS-2020-00724-0003932.pdf","FOIA-FWS-2020-00724-0003932")</f>
        <v>FOIA-FWS-2020-00724-0003932</v>
      </c>
      <c r="B3933" s="3" t="s">
        <v>6232</v>
      </c>
      <c r="C3933" s="3" t="s">
        <v>3</v>
      </c>
      <c r="D3933" s="3" t="s">
        <v>38</v>
      </c>
      <c r="E3933" s="3" t="s">
        <v>6233</v>
      </c>
      <c r="F3933" s="4">
        <v>43892</v>
      </c>
      <c r="G3933" s="3"/>
      <c r="H3933" s="3"/>
      <c r="I3933" s="3" t="s">
        <v>7043</v>
      </c>
      <c r="J3933" s="3"/>
      <c r="K3933" s="3"/>
      <c r="L3933" s="5"/>
    </row>
    <row r="3934" spans="1:12" ht="28.8" x14ac:dyDescent="0.55000000000000004">
      <c r="A3934" s="9" t="str">
        <f>HYPERLINK("PDF\FOIA-FWS-2020-00724-0003933.pdf","FOIA-FWS-2020-00724-0003933")</f>
        <v>FOIA-FWS-2020-00724-0003933</v>
      </c>
      <c r="B3934" s="3" t="s">
        <v>6234</v>
      </c>
      <c r="C3934" s="3" t="s">
        <v>3</v>
      </c>
      <c r="D3934" s="3" t="s">
        <v>38</v>
      </c>
      <c r="E3934" s="3" t="s">
        <v>6235</v>
      </c>
      <c r="F3934" s="4">
        <v>43892</v>
      </c>
      <c r="G3934" s="3"/>
      <c r="H3934" s="3"/>
      <c r="I3934" s="3" t="s">
        <v>7043</v>
      </c>
      <c r="J3934" s="3"/>
      <c r="K3934" s="3"/>
      <c r="L3934" s="5"/>
    </row>
    <row r="3935" spans="1:12" ht="28.8" x14ac:dyDescent="0.55000000000000004">
      <c r="A3935" s="9" t="str">
        <f>HYPERLINK("PDF\FOIA-FWS-2020-00724-0003934.pdf","FOIA-FWS-2020-00724-0003934")</f>
        <v>FOIA-FWS-2020-00724-0003934</v>
      </c>
      <c r="B3935" s="3" t="s">
        <v>6236</v>
      </c>
      <c r="C3935" s="3" t="s">
        <v>3</v>
      </c>
      <c r="D3935" s="3" t="s">
        <v>38</v>
      </c>
      <c r="E3935" s="3" t="s">
        <v>6235</v>
      </c>
      <c r="F3935" s="4">
        <v>43892</v>
      </c>
      <c r="G3935" s="3"/>
      <c r="H3935" s="3"/>
      <c r="I3935" s="3" t="s">
        <v>7043</v>
      </c>
      <c r="J3935" s="3"/>
      <c r="K3935" s="3"/>
      <c r="L3935" s="5"/>
    </row>
    <row r="3936" spans="1:12" ht="28.8" x14ac:dyDescent="0.55000000000000004">
      <c r="A3936" s="9" t="str">
        <f>HYPERLINK("PDF\FOIA-FWS-2020-00724-0003935.pdf","FOIA-FWS-2020-00724-0003935")</f>
        <v>FOIA-FWS-2020-00724-0003935</v>
      </c>
      <c r="B3936" s="3" t="s">
        <v>6237</v>
      </c>
      <c r="C3936" s="3" t="s">
        <v>3</v>
      </c>
      <c r="D3936" s="3" t="s">
        <v>38</v>
      </c>
      <c r="E3936" s="3" t="s">
        <v>6238</v>
      </c>
      <c r="F3936" s="4">
        <v>43892</v>
      </c>
      <c r="G3936" s="3"/>
      <c r="H3936" s="3"/>
      <c r="I3936" s="3" t="s">
        <v>7043</v>
      </c>
      <c r="J3936" s="3"/>
      <c r="K3936" s="3"/>
      <c r="L3936" s="5"/>
    </row>
    <row r="3937" spans="1:12" ht="28.8" x14ac:dyDescent="0.55000000000000004">
      <c r="A3937" s="9" t="str">
        <f>HYPERLINK("PDF\FOIA-FWS-2020-00724-0003936.pdf","FOIA-FWS-2020-00724-0003936")</f>
        <v>FOIA-FWS-2020-00724-0003936</v>
      </c>
      <c r="B3937" s="3" t="s">
        <v>6239</v>
      </c>
      <c r="C3937" s="3" t="s">
        <v>3</v>
      </c>
      <c r="D3937" s="3" t="s">
        <v>38</v>
      </c>
      <c r="E3937" s="3" t="s">
        <v>6240</v>
      </c>
      <c r="F3937" s="4">
        <v>43892</v>
      </c>
      <c r="G3937" s="3"/>
      <c r="H3937" s="3"/>
      <c r="I3937" s="3" t="s">
        <v>7043</v>
      </c>
      <c r="J3937" s="3"/>
      <c r="K3937" s="3"/>
      <c r="L3937" s="5"/>
    </row>
    <row r="3938" spans="1:12" ht="28.8" x14ac:dyDescent="0.55000000000000004">
      <c r="A3938" s="9" t="str">
        <f>HYPERLINK("PDF\FOIA-FWS-2020-00724-0003937.pdf","FOIA-FWS-2020-00724-0003937")</f>
        <v>FOIA-FWS-2020-00724-0003937</v>
      </c>
      <c r="B3938" s="3" t="s">
        <v>6241</v>
      </c>
      <c r="C3938" s="3" t="s">
        <v>3</v>
      </c>
      <c r="D3938" s="3" t="s">
        <v>38</v>
      </c>
      <c r="E3938" s="3" t="s">
        <v>6242</v>
      </c>
      <c r="F3938" s="4">
        <v>43892</v>
      </c>
      <c r="G3938" s="3"/>
      <c r="H3938" s="3"/>
      <c r="I3938" s="3" t="s">
        <v>7043</v>
      </c>
      <c r="J3938" s="3"/>
      <c r="K3938" s="3"/>
      <c r="L3938" s="5"/>
    </row>
    <row r="3939" spans="1:12" ht="28.8" x14ac:dyDescent="0.55000000000000004">
      <c r="A3939" s="9" t="str">
        <f>HYPERLINK("PDF\FOIA-FWS-2020-00724-0003938.pdf","FOIA-FWS-2020-00724-0003938")</f>
        <v>FOIA-FWS-2020-00724-0003938</v>
      </c>
      <c r="B3939" s="3" t="s">
        <v>6243</v>
      </c>
      <c r="C3939" s="3" t="s">
        <v>3</v>
      </c>
      <c r="D3939" s="3" t="s">
        <v>38</v>
      </c>
      <c r="E3939" s="3" t="s">
        <v>6244</v>
      </c>
      <c r="F3939" s="4">
        <v>43892</v>
      </c>
      <c r="G3939" s="3"/>
      <c r="H3939" s="3"/>
      <c r="I3939" s="3" t="s">
        <v>7043</v>
      </c>
      <c r="J3939" s="3"/>
      <c r="K3939" s="3"/>
      <c r="L3939" s="5"/>
    </row>
    <row r="3940" spans="1:12" ht="57.6" x14ac:dyDescent="0.55000000000000004">
      <c r="A3940" s="9" t="str">
        <f>HYPERLINK("PDF\FOIA-FWS-2020-00724-0003939.pdf","FOIA-FWS-2020-00724-0003939")</f>
        <v>FOIA-FWS-2020-00724-0003939</v>
      </c>
      <c r="B3940" s="3" t="s">
        <v>6245</v>
      </c>
      <c r="C3940" s="3" t="s">
        <v>3</v>
      </c>
      <c r="D3940" s="3" t="s">
        <v>38</v>
      </c>
      <c r="E3940" s="3" t="s">
        <v>6246</v>
      </c>
      <c r="F3940" s="4">
        <v>43892</v>
      </c>
      <c r="G3940" s="3"/>
      <c r="H3940" s="3"/>
      <c r="I3940" s="3" t="s">
        <v>7043</v>
      </c>
      <c r="J3940" s="3"/>
      <c r="K3940" s="3"/>
      <c r="L3940" s="5"/>
    </row>
    <row r="3941" spans="1:12" ht="28.8" x14ac:dyDescent="0.55000000000000004">
      <c r="A3941" s="9" t="str">
        <f>HYPERLINK("PDF\FOIA-FWS-2020-00724-0003940.pdf","FOIA-FWS-2020-00724-0003940")</f>
        <v>FOIA-FWS-2020-00724-0003940</v>
      </c>
      <c r="B3941" s="3" t="s">
        <v>6247</v>
      </c>
      <c r="C3941" s="3" t="s">
        <v>3</v>
      </c>
      <c r="D3941" s="3" t="s">
        <v>33</v>
      </c>
      <c r="E3941" s="3" t="s">
        <v>6248</v>
      </c>
      <c r="F3941" s="4">
        <v>43892.455555555556</v>
      </c>
      <c r="G3941" s="3" t="s">
        <v>938</v>
      </c>
      <c r="H3941" s="3" t="s">
        <v>872</v>
      </c>
      <c r="I3941" s="3" t="s">
        <v>7043</v>
      </c>
      <c r="J3941" s="3"/>
      <c r="K3941" s="3"/>
      <c r="L3941" s="5"/>
    </row>
    <row r="3942" spans="1:12" ht="28.8" x14ac:dyDescent="0.55000000000000004">
      <c r="A3942" s="9" t="str">
        <f>HYPERLINK("PDF\FOIA-FWS-2020-00724-0003941.pdf","FOIA-FWS-2020-00724-0003941")</f>
        <v>FOIA-FWS-2020-00724-0003941</v>
      </c>
      <c r="B3942" s="3" t="s">
        <v>6249</v>
      </c>
      <c r="C3942" s="3" t="s">
        <v>3</v>
      </c>
      <c r="D3942" s="3" t="s">
        <v>33</v>
      </c>
      <c r="E3942" s="3" t="s">
        <v>6250</v>
      </c>
      <c r="F3942" s="4">
        <v>43892.521527777775</v>
      </c>
      <c r="G3942" s="3" t="s">
        <v>5800</v>
      </c>
      <c r="H3942" s="3" t="s">
        <v>1119</v>
      </c>
      <c r="I3942" s="3" t="s">
        <v>7043</v>
      </c>
      <c r="J3942" s="3"/>
      <c r="K3942" s="3"/>
      <c r="L3942" s="5"/>
    </row>
    <row r="3943" spans="1:12" ht="28.8" x14ac:dyDescent="0.55000000000000004">
      <c r="A3943" s="9" t="str">
        <f>HYPERLINK("PDF\FOIA-FWS-2020-00724-0003942.pdf","FOIA-FWS-2020-00724-0003942")</f>
        <v>FOIA-FWS-2020-00724-0003942</v>
      </c>
      <c r="B3943" s="3" t="s">
        <v>6251</v>
      </c>
      <c r="C3943" s="3" t="s">
        <v>3</v>
      </c>
      <c r="D3943" s="3" t="s">
        <v>33</v>
      </c>
      <c r="E3943" s="3" t="s">
        <v>6252</v>
      </c>
      <c r="F3943" s="4">
        <v>43892.590277777781</v>
      </c>
      <c r="G3943" s="3" t="s">
        <v>5800</v>
      </c>
      <c r="H3943" s="3" t="s">
        <v>919</v>
      </c>
      <c r="I3943" s="3" t="s">
        <v>7043</v>
      </c>
      <c r="J3943" s="3"/>
      <c r="K3943" s="3"/>
      <c r="L3943" s="5"/>
    </row>
    <row r="3944" spans="1:12" ht="28.8" x14ac:dyDescent="0.55000000000000004">
      <c r="A3944" s="9" t="str">
        <f>HYPERLINK("PDF\FOIA-FWS-2020-00724-0003943.pdf","FOIA-FWS-2020-00724-0003943")</f>
        <v>FOIA-FWS-2020-00724-0003943</v>
      </c>
      <c r="B3944" s="3" t="s">
        <v>6253</v>
      </c>
      <c r="C3944" s="3" t="s">
        <v>3</v>
      </c>
      <c r="D3944" s="3" t="s">
        <v>33</v>
      </c>
      <c r="E3944" s="3" t="s">
        <v>6254</v>
      </c>
      <c r="F3944" s="4">
        <v>43892.590277777781</v>
      </c>
      <c r="G3944" s="3" t="s">
        <v>5800</v>
      </c>
      <c r="H3944" s="3" t="s">
        <v>963</v>
      </c>
      <c r="I3944" s="3" t="s">
        <v>7043</v>
      </c>
      <c r="J3944" s="3"/>
      <c r="K3944" s="3"/>
      <c r="L3944" s="5"/>
    </row>
    <row r="3945" spans="1:12" ht="43.2" x14ac:dyDescent="0.55000000000000004">
      <c r="A3945" s="9" t="str">
        <f>HYPERLINK("PDF\FOIA-FWS-2020-00724-0003944.pdf","FOIA-FWS-2020-00724-0003944")</f>
        <v>FOIA-FWS-2020-00724-0003944</v>
      </c>
      <c r="B3945" s="3" t="s">
        <v>6255</v>
      </c>
      <c r="C3945" s="3" t="s">
        <v>3</v>
      </c>
      <c r="D3945" s="3" t="s">
        <v>33</v>
      </c>
      <c r="E3945" s="3" t="s">
        <v>6256</v>
      </c>
      <c r="F3945" s="4">
        <v>43892.61041666667</v>
      </c>
      <c r="G3945" s="3" t="s">
        <v>1719</v>
      </c>
      <c r="H3945" s="3" t="s">
        <v>6195</v>
      </c>
      <c r="I3945" s="3" t="s">
        <v>7043</v>
      </c>
      <c r="J3945" s="3"/>
      <c r="K3945" s="3"/>
      <c r="L3945" s="5"/>
    </row>
    <row r="3946" spans="1:12" ht="28.8" x14ac:dyDescent="0.55000000000000004">
      <c r="A3946" s="9" t="str">
        <f>HYPERLINK("PDF\FOIA-FWS-2020-00724-0003945.pdf","FOIA-FWS-2020-00724-0003945")</f>
        <v>FOIA-FWS-2020-00724-0003945</v>
      </c>
      <c r="B3946" s="3" t="s">
        <v>6255</v>
      </c>
      <c r="C3946" s="3" t="s">
        <v>234</v>
      </c>
      <c r="D3946" s="3" t="s">
        <v>33</v>
      </c>
      <c r="E3946" s="3" t="s">
        <v>6257</v>
      </c>
      <c r="F3946" s="4">
        <v>43892.61041666667</v>
      </c>
      <c r="G3946" s="3"/>
      <c r="H3946" s="3"/>
      <c r="I3946" s="3" t="s">
        <v>7043</v>
      </c>
      <c r="J3946" s="3"/>
      <c r="K3946" s="3"/>
      <c r="L3946" s="5"/>
    </row>
    <row r="3947" spans="1:12" ht="28.8" x14ac:dyDescent="0.55000000000000004">
      <c r="A3947" s="9" t="str">
        <f>HYPERLINK("PDF\FOIA-FWS-2020-00724-0003946.pdf","FOIA-FWS-2020-00724-0003946")</f>
        <v>FOIA-FWS-2020-00724-0003946</v>
      </c>
      <c r="B3947" s="3" t="s">
        <v>6255</v>
      </c>
      <c r="C3947" s="3" t="s">
        <v>234</v>
      </c>
      <c r="D3947" s="3" t="s">
        <v>33</v>
      </c>
      <c r="E3947" s="3" t="s">
        <v>6258</v>
      </c>
      <c r="F3947" s="4">
        <v>43892.61041666667</v>
      </c>
      <c r="G3947" s="3"/>
      <c r="H3947" s="3"/>
      <c r="I3947" s="3" t="s">
        <v>7043</v>
      </c>
      <c r="J3947" s="3"/>
      <c r="K3947" s="3"/>
      <c r="L3947" s="5"/>
    </row>
    <row r="3948" spans="1:12" ht="43.2" x14ac:dyDescent="0.55000000000000004">
      <c r="A3948" s="9" t="str">
        <f>HYPERLINK("PDF\FOIA-FWS-2020-00724-0003947.pdf","FOIA-FWS-2020-00724-0003947")</f>
        <v>FOIA-FWS-2020-00724-0003947</v>
      </c>
      <c r="B3948" s="3" t="s">
        <v>6259</v>
      </c>
      <c r="C3948" s="3" t="s">
        <v>3</v>
      </c>
      <c r="D3948" s="3" t="s">
        <v>33</v>
      </c>
      <c r="E3948" s="3" t="s">
        <v>6256</v>
      </c>
      <c r="F3948" s="4">
        <v>43892.61041666667</v>
      </c>
      <c r="G3948" s="3" t="s">
        <v>1719</v>
      </c>
      <c r="H3948" s="3" t="s">
        <v>6195</v>
      </c>
      <c r="I3948" s="3" t="s">
        <v>7043</v>
      </c>
      <c r="J3948" s="3"/>
      <c r="K3948" s="3"/>
      <c r="L3948" s="5"/>
    </row>
    <row r="3949" spans="1:12" ht="28.8" x14ac:dyDescent="0.55000000000000004">
      <c r="A3949" s="9" t="str">
        <f>HYPERLINK("PDF\FOIA-FWS-2020-00724-0003948.pdf","FOIA-FWS-2020-00724-0003948")</f>
        <v>FOIA-FWS-2020-00724-0003948</v>
      </c>
      <c r="B3949" s="3" t="s">
        <v>6259</v>
      </c>
      <c r="C3949" s="3" t="s">
        <v>234</v>
      </c>
      <c r="D3949" s="3" t="s">
        <v>33</v>
      </c>
      <c r="E3949" s="3" t="s">
        <v>6260</v>
      </c>
      <c r="F3949" s="4">
        <v>43892.61041666667</v>
      </c>
      <c r="G3949" s="3"/>
      <c r="H3949" s="3"/>
      <c r="I3949" s="3" t="s">
        <v>7043</v>
      </c>
      <c r="J3949" s="3"/>
      <c r="K3949" s="3"/>
      <c r="L3949" s="5"/>
    </row>
    <row r="3950" spans="1:12" ht="28.8" x14ac:dyDescent="0.55000000000000004">
      <c r="A3950" s="9" t="str">
        <f>HYPERLINK("PDF\FOIA-FWS-2020-00724-0003949.pdf","FOIA-FWS-2020-00724-0003949")</f>
        <v>FOIA-FWS-2020-00724-0003949</v>
      </c>
      <c r="B3950" s="3" t="s">
        <v>6259</v>
      </c>
      <c r="C3950" s="3" t="s">
        <v>234</v>
      </c>
      <c r="D3950" s="3" t="s">
        <v>33</v>
      </c>
      <c r="E3950" s="3" t="s">
        <v>6261</v>
      </c>
      <c r="F3950" s="4">
        <v>43892.61041666667</v>
      </c>
      <c r="G3950" s="3"/>
      <c r="H3950" s="3"/>
      <c r="I3950" s="3" t="s">
        <v>7043</v>
      </c>
      <c r="J3950" s="3"/>
      <c r="K3950" s="3"/>
      <c r="L3950" s="5"/>
    </row>
    <row r="3951" spans="1:12" ht="43.2" x14ac:dyDescent="0.55000000000000004">
      <c r="A3951" s="9" t="str">
        <f>HYPERLINK("PDF\FOIA-FWS-2020-00724-0003950.pdf","FOIA-FWS-2020-00724-0003950")</f>
        <v>FOIA-FWS-2020-00724-0003950</v>
      </c>
      <c r="B3951" s="3" t="s">
        <v>6262</v>
      </c>
      <c r="C3951" s="3" t="s">
        <v>3</v>
      </c>
      <c r="D3951" s="3" t="s">
        <v>33</v>
      </c>
      <c r="E3951" s="3" t="s">
        <v>6256</v>
      </c>
      <c r="F3951" s="4">
        <v>43892.611805555556</v>
      </c>
      <c r="G3951" s="3" t="s">
        <v>1719</v>
      </c>
      <c r="H3951" s="3" t="s">
        <v>6195</v>
      </c>
      <c r="I3951" s="3" t="s">
        <v>7043</v>
      </c>
      <c r="J3951" s="3"/>
      <c r="K3951" s="3"/>
      <c r="L3951" s="5"/>
    </row>
    <row r="3952" spans="1:12" ht="28.8" x14ac:dyDescent="0.55000000000000004">
      <c r="A3952" s="9" t="str">
        <f>HYPERLINK("PDF\FOIA-FWS-2020-00724-0003951.pdf","FOIA-FWS-2020-00724-0003951")</f>
        <v>FOIA-FWS-2020-00724-0003951</v>
      </c>
      <c r="B3952" s="3" t="s">
        <v>6262</v>
      </c>
      <c r="C3952" s="3" t="s">
        <v>234</v>
      </c>
      <c r="D3952" s="3" t="s">
        <v>33</v>
      </c>
      <c r="E3952" s="3" t="s">
        <v>6263</v>
      </c>
      <c r="F3952" s="4">
        <v>43892.611805555556</v>
      </c>
      <c r="G3952" s="3"/>
      <c r="H3952" s="3"/>
      <c r="I3952" s="3" t="s">
        <v>7043</v>
      </c>
      <c r="J3952" s="3"/>
      <c r="K3952" s="3"/>
      <c r="L3952" s="5"/>
    </row>
    <row r="3953" spans="1:12" ht="28.8" x14ac:dyDescent="0.55000000000000004">
      <c r="A3953" s="9" t="str">
        <f>HYPERLINK("PDF\FOIA-FWS-2020-00724-0003952.pdf","FOIA-FWS-2020-00724-0003952")</f>
        <v>FOIA-FWS-2020-00724-0003952</v>
      </c>
      <c r="B3953" s="3" t="s">
        <v>6262</v>
      </c>
      <c r="C3953" s="3" t="s">
        <v>234</v>
      </c>
      <c r="D3953" s="3" t="s">
        <v>33</v>
      </c>
      <c r="E3953" s="3" t="s">
        <v>6264</v>
      </c>
      <c r="F3953" s="4">
        <v>43892.611805555556</v>
      </c>
      <c r="G3953" s="3"/>
      <c r="H3953" s="3"/>
      <c r="I3953" s="3" t="s">
        <v>7043</v>
      </c>
      <c r="J3953" s="3"/>
      <c r="K3953" s="3"/>
      <c r="L3953" s="5"/>
    </row>
    <row r="3954" spans="1:12" ht="43.2" x14ac:dyDescent="0.55000000000000004">
      <c r="A3954" s="9" t="str">
        <f>HYPERLINK("PDF\FOIA-FWS-2020-00724-0003953.pdf","FOIA-FWS-2020-00724-0003953")</f>
        <v>FOIA-FWS-2020-00724-0003953</v>
      </c>
      <c r="B3954" s="3" t="s">
        <v>6265</v>
      </c>
      <c r="C3954" s="3" t="s">
        <v>3</v>
      </c>
      <c r="D3954" s="3" t="s">
        <v>33</v>
      </c>
      <c r="E3954" s="3" t="s">
        <v>6256</v>
      </c>
      <c r="F3954" s="4">
        <v>43892.613194444442</v>
      </c>
      <c r="G3954" s="3" t="s">
        <v>1719</v>
      </c>
      <c r="H3954" s="3" t="s">
        <v>5800</v>
      </c>
      <c r="I3954" s="3" t="s">
        <v>7043</v>
      </c>
      <c r="J3954" s="3"/>
      <c r="K3954" s="3"/>
      <c r="L3954" s="5"/>
    </row>
    <row r="3955" spans="1:12" ht="43.2" x14ac:dyDescent="0.55000000000000004">
      <c r="A3955" s="9" t="str">
        <f>HYPERLINK("PDF\FOIA-FWS-2020-00724-0003954.pdf","FOIA-FWS-2020-00724-0003954")</f>
        <v>FOIA-FWS-2020-00724-0003954</v>
      </c>
      <c r="B3955" s="3" t="s">
        <v>6265</v>
      </c>
      <c r="C3955" s="3" t="s">
        <v>234</v>
      </c>
      <c r="D3955" s="3" t="s">
        <v>33</v>
      </c>
      <c r="E3955" s="3" t="s">
        <v>6266</v>
      </c>
      <c r="F3955" s="4">
        <v>43892.613194444442</v>
      </c>
      <c r="G3955" s="3"/>
      <c r="H3955" s="3"/>
      <c r="I3955" s="3" t="s">
        <v>7043</v>
      </c>
      <c r="J3955" s="3"/>
      <c r="K3955" s="3"/>
      <c r="L3955" s="5"/>
    </row>
    <row r="3956" spans="1:12" ht="43.2" x14ac:dyDescent="0.55000000000000004">
      <c r="A3956" s="9" t="str">
        <f>HYPERLINK("PDF\FOIA-FWS-2020-00724-0003955.pdf","FOIA-FWS-2020-00724-0003955")</f>
        <v>FOIA-FWS-2020-00724-0003955</v>
      </c>
      <c r="B3956" s="3" t="s">
        <v>6267</v>
      </c>
      <c r="C3956" s="3" t="s">
        <v>3</v>
      </c>
      <c r="D3956" s="3" t="s">
        <v>33</v>
      </c>
      <c r="E3956" s="3" t="s">
        <v>6268</v>
      </c>
      <c r="F3956" s="4">
        <v>43892.635416666664</v>
      </c>
      <c r="G3956" s="3" t="s">
        <v>861</v>
      </c>
      <c r="H3956" s="3" t="s">
        <v>3571</v>
      </c>
      <c r="I3956" s="3" t="s">
        <v>7043</v>
      </c>
      <c r="J3956" s="3"/>
      <c r="K3956" s="3"/>
      <c r="L3956" s="5"/>
    </row>
    <row r="3957" spans="1:12" ht="28.8" x14ac:dyDescent="0.55000000000000004">
      <c r="A3957" s="9" t="str">
        <f>HYPERLINK("PDF\FOIA-FWS-2020-00724-0003956.pdf","FOIA-FWS-2020-00724-0003956")</f>
        <v>FOIA-FWS-2020-00724-0003956</v>
      </c>
      <c r="B3957" s="3" t="s">
        <v>6267</v>
      </c>
      <c r="C3957" s="3" t="s">
        <v>234</v>
      </c>
      <c r="D3957" s="3" t="s">
        <v>33</v>
      </c>
      <c r="E3957" s="3" t="s">
        <v>6269</v>
      </c>
      <c r="F3957" s="4">
        <v>43892.635416666664</v>
      </c>
      <c r="G3957" s="3"/>
      <c r="H3957" s="3"/>
      <c r="I3957" s="3" t="s">
        <v>7043</v>
      </c>
      <c r="J3957" s="3"/>
      <c r="K3957" s="3"/>
      <c r="L3957" s="5"/>
    </row>
    <row r="3958" spans="1:12" ht="28.8" x14ac:dyDescent="0.55000000000000004">
      <c r="A3958" s="9" t="str">
        <f>HYPERLINK("PDF\FOIA-FWS-2020-00724-0003957.pdf","FOIA-FWS-2020-00724-0003957")</f>
        <v>FOIA-FWS-2020-00724-0003957</v>
      </c>
      <c r="B3958" s="3" t="s">
        <v>6267</v>
      </c>
      <c r="C3958" s="3" t="s">
        <v>234</v>
      </c>
      <c r="D3958" s="3" t="s">
        <v>33</v>
      </c>
      <c r="E3958" s="3" t="s">
        <v>6270</v>
      </c>
      <c r="F3958" s="4">
        <v>43892.635416666664</v>
      </c>
      <c r="G3958" s="3"/>
      <c r="H3958" s="3"/>
      <c r="I3958" s="3" t="s">
        <v>7043</v>
      </c>
      <c r="J3958" s="3"/>
      <c r="K3958" s="3"/>
      <c r="L3958" s="5"/>
    </row>
    <row r="3959" spans="1:12" ht="43.2" x14ac:dyDescent="0.55000000000000004">
      <c r="A3959" s="9" t="str">
        <f>HYPERLINK("PDF\FOIA-FWS-2020-00724-0003958.pdf","FOIA-FWS-2020-00724-0003958")</f>
        <v>FOIA-FWS-2020-00724-0003958</v>
      </c>
      <c r="B3959" s="3" t="s">
        <v>6271</v>
      </c>
      <c r="C3959" s="3" t="s">
        <v>3</v>
      </c>
      <c r="D3959" s="3" t="s">
        <v>33</v>
      </c>
      <c r="E3959" s="3" t="s">
        <v>6268</v>
      </c>
      <c r="F3959" s="4">
        <v>43892.636111111111</v>
      </c>
      <c r="G3959" s="3" t="s">
        <v>861</v>
      </c>
      <c r="H3959" s="3" t="s">
        <v>3571</v>
      </c>
      <c r="I3959" s="3" t="s">
        <v>7043</v>
      </c>
      <c r="J3959" s="3"/>
      <c r="K3959" s="3"/>
      <c r="L3959" s="5"/>
    </row>
    <row r="3960" spans="1:12" ht="28.8" x14ac:dyDescent="0.55000000000000004">
      <c r="A3960" s="9" t="str">
        <f>HYPERLINK("PDF\FOIA-FWS-2020-00724-0003959.pdf","FOIA-FWS-2020-00724-0003959")</f>
        <v>FOIA-FWS-2020-00724-0003959</v>
      </c>
      <c r="B3960" s="3" t="s">
        <v>6271</v>
      </c>
      <c r="C3960" s="3" t="s">
        <v>234</v>
      </c>
      <c r="D3960" s="3" t="s">
        <v>33</v>
      </c>
      <c r="E3960" s="3" t="s">
        <v>6260</v>
      </c>
      <c r="F3960" s="4">
        <v>43892.636111111111</v>
      </c>
      <c r="G3960" s="3"/>
      <c r="H3960" s="3"/>
      <c r="I3960" s="3" t="s">
        <v>7043</v>
      </c>
      <c r="J3960" s="3"/>
      <c r="K3960" s="3"/>
      <c r="L3960" s="5"/>
    </row>
    <row r="3961" spans="1:12" ht="28.8" x14ac:dyDescent="0.55000000000000004">
      <c r="A3961" s="9" t="str">
        <f>HYPERLINK("PDF\FOIA-FWS-2020-00724-0003960.pdf","FOIA-FWS-2020-00724-0003960")</f>
        <v>FOIA-FWS-2020-00724-0003960</v>
      </c>
      <c r="B3961" s="3" t="s">
        <v>6271</v>
      </c>
      <c r="C3961" s="3" t="s">
        <v>234</v>
      </c>
      <c r="D3961" s="3" t="s">
        <v>33</v>
      </c>
      <c r="E3961" s="3" t="s">
        <v>6261</v>
      </c>
      <c r="F3961" s="4">
        <v>43892.636111111111</v>
      </c>
      <c r="G3961" s="3"/>
      <c r="H3961" s="3"/>
      <c r="I3961" s="3" t="s">
        <v>7043</v>
      </c>
      <c r="J3961" s="3"/>
      <c r="K3961" s="3"/>
      <c r="L3961" s="5"/>
    </row>
    <row r="3962" spans="1:12" ht="43.2" x14ac:dyDescent="0.55000000000000004">
      <c r="A3962" s="9" t="str">
        <f>HYPERLINK("PDF\FOIA-FWS-2020-00724-0003961.pdf","FOIA-FWS-2020-00724-0003961")</f>
        <v>FOIA-FWS-2020-00724-0003961</v>
      </c>
      <c r="B3962" s="3" t="s">
        <v>6272</v>
      </c>
      <c r="C3962" s="3" t="s">
        <v>3</v>
      </c>
      <c r="D3962" s="3" t="s">
        <v>33</v>
      </c>
      <c r="E3962" s="3" t="s">
        <v>6268</v>
      </c>
      <c r="F3962" s="4">
        <v>43892.636111111111</v>
      </c>
      <c r="G3962" s="3" t="s">
        <v>861</v>
      </c>
      <c r="H3962" s="3" t="s">
        <v>3571</v>
      </c>
      <c r="I3962" s="3" t="s">
        <v>7043</v>
      </c>
      <c r="J3962" s="3"/>
      <c r="K3962" s="3"/>
      <c r="L3962" s="5"/>
    </row>
    <row r="3963" spans="1:12" ht="28.8" x14ac:dyDescent="0.55000000000000004">
      <c r="A3963" s="9" t="str">
        <f>HYPERLINK("PDF\FOIA-FWS-2020-00724-0003962.pdf","FOIA-FWS-2020-00724-0003962")</f>
        <v>FOIA-FWS-2020-00724-0003962</v>
      </c>
      <c r="B3963" s="3" t="s">
        <v>6272</v>
      </c>
      <c r="C3963" s="3" t="s">
        <v>234</v>
      </c>
      <c r="D3963" s="3" t="s">
        <v>33</v>
      </c>
      <c r="E3963" s="3" t="s">
        <v>6273</v>
      </c>
      <c r="F3963" s="4">
        <v>43892.636111111111</v>
      </c>
      <c r="G3963" s="3"/>
      <c r="H3963" s="3"/>
      <c r="I3963" s="3" t="s">
        <v>7043</v>
      </c>
      <c r="J3963" s="3"/>
      <c r="K3963" s="3"/>
      <c r="L3963" s="5"/>
    </row>
    <row r="3964" spans="1:12" ht="28.8" x14ac:dyDescent="0.55000000000000004">
      <c r="A3964" s="9" t="str">
        <f>HYPERLINK("PDF\FOIA-FWS-2020-00724-0003963.pdf","FOIA-FWS-2020-00724-0003963")</f>
        <v>FOIA-FWS-2020-00724-0003963</v>
      </c>
      <c r="B3964" s="3" t="s">
        <v>6272</v>
      </c>
      <c r="C3964" s="3" t="s">
        <v>234</v>
      </c>
      <c r="D3964" s="3" t="s">
        <v>33</v>
      </c>
      <c r="E3964" s="3" t="s">
        <v>6274</v>
      </c>
      <c r="F3964" s="4">
        <v>43892.636111111111</v>
      </c>
      <c r="G3964" s="3"/>
      <c r="H3964" s="3"/>
      <c r="I3964" s="3" t="s">
        <v>7043</v>
      </c>
      <c r="J3964" s="3"/>
      <c r="K3964" s="3"/>
      <c r="L3964" s="5"/>
    </row>
    <row r="3965" spans="1:12" ht="28.8" x14ac:dyDescent="0.55000000000000004">
      <c r="A3965" s="9" t="str">
        <f>HYPERLINK("PDF\FOIA-FWS-2020-00724-0003964.pdf","FOIA-FWS-2020-00724-0003964")</f>
        <v>FOIA-FWS-2020-00724-0003964</v>
      </c>
      <c r="B3965" s="3" t="s">
        <v>6275</v>
      </c>
      <c r="C3965" s="3" t="s">
        <v>3</v>
      </c>
      <c r="D3965" s="3" t="s">
        <v>33</v>
      </c>
      <c r="E3965" s="3" t="s">
        <v>6276</v>
      </c>
      <c r="F3965" s="4">
        <v>43892.770833333336</v>
      </c>
      <c r="G3965" s="3" t="s">
        <v>1392</v>
      </c>
      <c r="H3965" s="3" t="s">
        <v>5800</v>
      </c>
      <c r="I3965" s="3" t="s">
        <v>7043</v>
      </c>
      <c r="J3965" s="3"/>
      <c r="K3965" s="3"/>
      <c r="L3965" s="5"/>
    </row>
    <row r="3966" spans="1:12" ht="28.8" x14ac:dyDescent="0.55000000000000004">
      <c r="A3966" s="9" t="str">
        <f>HYPERLINK("PDF\FOIA-FWS-2020-00724-0003965.pdf","FOIA-FWS-2020-00724-0003965")</f>
        <v>FOIA-FWS-2020-00724-0003965</v>
      </c>
      <c r="B3966" s="3" t="s">
        <v>6275</v>
      </c>
      <c r="C3966" s="3" t="s">
        <v>234</v>
      </c>
      <c r="D3966" s="3" t="s">
        <v>33</v>
      </c>
      <c r="E3966" s="3" t="s">
        <v>6277</v>
      </c>
      <c r="F3966" s="4">
        <v>43892.770833333336</v>
      </c>
      <c r="G3966" s="3"/>
      <c r="H3966" s="3"/>
      <c r="I3966" s="3" t="s">
        <v>7043</v>
      </c>
      <c r="J3966" s="3"/>
      <c r="K3966" s="3"/>
      <c r="L3966" s="5"/>
    </row>
    <row r="3967" spans="1:12" ht="28.8" x14ac:dyDescent="0.55000000000000004">
      <c r="A3967" s="9" t="str">
        <f>HYPERLINK("PDF\FOIA-FWS-2020-00724-0003966.pdf","FOIA-FWS-2020-00724-0003966")</f>
        <v>FOIA-FWS-2020-00724-0003966</v>
      </c>
      <c r="B3967" s="3" t="s">
        <v>6278</v>
      </c>
      <c r="C3967" s="3" t="s">
        <v>3</v>
      </c>
      <c r="D3967" s="3" t="s">
        <v>33</v>
      </c>
      <c r="E3967" s="3" t="s">
        <v>6279</v>
      </c>
      <c r="F3967" s="4">
        <v>43892.784722222219</v>
      </c>
      <c r="G3967" s="3" t="s">
        <v>1392</v>
      </c>
      <c r="H3967" s="3" t="s">
        <v>5800</v>
      </c>
      <c r="I3967" s="3" t="s">
        <v>7043</v>
      </c>
      <c r="J3967" s="3"/>
      <c r="K3967" s="3"/>
      <c r="L3967" s="5"/>
    </row>
    <row r="3968" spans="1:12" ht="28.8" x14ac:dyDescent="0.55000000000000004">
      <c r="A3968" s="9" t="str">
        <f>HYPERLINK("PDF\FOIA-FWS-2020-00724-0003967.pdf","FOIA-FWS-2020-00724-0003967")</f>
        <v>FOIA-FWS-2020-00724-0003967</v>
      </c>
      <c r="B3968" s="3" t="s">
        <v>6278</v>
      </c>
      <c r="C3968" s="3" t="s">
        <v>234</v>
      </c>
      <c r="D3968" s="3" t="s">
        <v>33</v>
      </c>
      <c r="E3968" s="3" t="s">
        <v>6280</v>
      </c>
      <c r="F3968" s="4">
        <v>43892.784722222219</v>
      </c>
      <c r="G3968" s="3"/>
      <c r="H3968" s="3"/>
      <c r="I3968" s="3" t="s">
        <v>7043</v>
      </c>
      <c r="J3968" s="3"/>
      <c r="K3968" s="3"/>
      <c r="L3968" s="5"/>
    </row>
    <row r="3969" spans="1:12" ht="43.2" x14ac:dyDescent="0.55000000000000004">
      <c r="A3969" s="9" t="str">
        <f>HYPERLINK("PDF\FOIA-FWS-2020-00724-0003968.pdf","FOIA-FWS-2020-00724-0003968")</f>
        <v>FOIA-FWS-2020-00724-0003968</v>
      </c>
      <c r="B3969" s="3" t="s">
        <v>6281</v>
      </c>
      <c r="C3969" s="3" t="s">
        <v>3</v>
      </c>
      <c r="D3969" s="3" t="s">
        <v>33</v>
      </c>
      <c r="E3969" s="3" t="s">
        <v>6283</v>
      </c>
      <c r="F3969" s="4">
        <v>43892.799305555556</v>
      </c>
      <c r="G3969" s="3" t="s">
        <v>5800</v>
      </c>
      <c r="H3969" s="3" t="s">
        <v>6282</v>
      </c>
      <c r="I3969" s="3" t="s">
        <v>7043</v>
      </c>
      <c r="J3969" s="3"/>
      <c r="K3969" s="3"/>
      <c r="L3969" s="5"/>
    </row>
    <row r="3970" spans="1:12" ht="28.8" x14ac:dyDescent="0.55000000000000004">
      <c r="A3970" s="9" t="str">
        <f>HYPERLINK("PDF\FOIA-FWS-2020-00724-0003969.pdf","FOIA-FWS-2020-00724-0003969")</f>
        <v>FOIA-FWS-2020-00724-0003969</v>
      </c>
      <c r="B3970" s="3" t="s">
        <v>6284</v>
      </c>
      <c r="C3970" s="3" t="s">
        <v>3</v>
      </c>
      <c r="D3970" s="3" t="s">
        <v>33</v>
      </c>
      <c r="E3970" s="3" t="s">
        <v>6286</v>
      </c>
      <c r="F3970" s="4">
        <v>43892.807638888888</v>
      </c>
      <c r="G3970" s="3" t="s">
        <v>6285</v>
      </c>
      <c r="H3970" s="3" t="s">
        <v>4043</v>
      </c>
      <c r="I3970" s="3" t="s">
        <v>7043</v>
      </c>
      <c r="J3970" s="3"/>
      <c r="K3970" s="3"/>
      <c r="L3970" s="5"/>
    </row>
    <row r="3971" spans="1:12" ht="28.8" x14ac:dyDescent="0.55000000000000004">
      <c r="A3971" s="9" t="str">
        <f>HYPERLINK("PDF\FOIA-FWS-2020-00724-0003970.pdf","FOIA-FWS-2020-00724-0003970")</f>
        <v>FOIA-FWS-2020-00724-0003970</v>
      </c>
      <c r="B3971" s="3" t="s">
        <v>6284</v>
      </c>
      <c r="C3971" s="3" t="s">
        <v>234</v>
      </c>
      <c r="D3971" s="3" t="s">
        <v>33</v>
      </c>
      <c r="E3971" s="3" t="s">
        <v>6287</v>
      </c>
      <c r="F3971" s="4">
        <v>43892.807638888888</v>
      </c>
      <c r="G3971" s="3"/>
      <c r="H3971" s="3"/>
      <c r="I3971" s="3" t="s">
        <v>7043</v>
      </c>
      <c r="J3971" s="3"/>
      <c r="K3971" s="3"/>
      <c r="L3971" s="5"/>
    </row>
    <row r="3972" spans="1:12" ht="28.8" x14ac:dyDescent="0.55000000000000004">
      <c r="A3972" s="9" t="str">
        <f>HYPERLINK("PDF\FOIA-FWS-2020-00724-0003971.pdf","FOIA-FWS-2020-00724-0003971")</f>
        <v>FOIA-FWS-2020-00724-0003971</v>
      </c>
      <c r="B3972" s="3" t="s">
        <v>6288</v>
      </c>
      <c r="C3972" s="3" t="s">
        <v>3</v>
      </c>
      <c r="D3972" s="3" t="s">
        <v>33</v>
      </c>
      <c r="E3972" s="3" t="s">
        <v>6289</v>
      </c>
      <c r="F3972" s="4">
        <v>43893</v>
      </c>
      <c r="G3972" s="3"/>
      <c r="H3972" s="3"/>
      <c r="I3972" s="3" t="s">
        <v>7043</v>
      </c>
      <c r="J3972" s="3"/>
      <c r="K3972" s="3"/>
      <c r="L3972" s="5"/>
    </row>
    <row r="3973" spans="1:12" ht="28.8" x14ac:dyDescent="0.55000000000000004">
      <c r="A3973" s="9" t="str">
        <f>HYPERLINK("PDF\FOIA-FWS-2020-00724-0003972.pdf","FOIA-FWS-2020-00724-0003972")</f>
        <v>FOIA-FWS-2020-00724-0003972</v>
      </c>
      <c r="B3973" s="3" t="s">
        <v>6290</v>
      </c>
      <c r="C3973" s="3" t="s">
        <v>3</v>
      </c>
      <c r="D3973" s="3" t="s">
        <v>33</v>
      </c>
      <c r="E3973" s="3" t="s">
        <v>6291</v>
      </c>
      <c r="F3973" s="4">
        <v>43893</v>
      </c>
      <c r="G3973" s="3"/>
      <c r="H3973" s="3"/>
      <c r="I3973" s="3" t="s">
        <v>7043</v>
      </c>
      <c r="J3973" s="3"/>
      <c r="K3973" s="3"/>
      <c r="L3973" s="5"/>
    </row>
    <row r="3974" spans="1:12" ht="28.8" x14ac:dyDescent="0.55000000000000004">
      <c r="A3974" s="9" t="str">
        <f>HYPERLINK("PDF\FOIA-FWS-2020-00724-0003973.pdf","FOIA-FWS-2020-00724-0003973")</f>
        <v>FOIA-FWS-2020-00724-0003973</v>
      </c>
      <c r="B3974" s="3" t="s">
        <v>6292</v>
      </c>
      <c r="C3974" s="3" t="s">
        <v>3</v>
      </c>
      <c r="D3974" s="3" t="s">
        <v>33</v>
      </c>
      <c r="E3974" s="3" t="s">
        <v>6293</v>
      </c>
      <c r="F3974" s="4">
        <v>43893</v>
      </c>
      <c r="G3974" s="3"/>
      <c r="H3974" s="3"/>
      <c r="I3974" s="3" t="s">
        <v>7043</v>
      </c>
      <c r="J3974" s="3"/>
      <c r="K3974" s="3"/>
      <c r="L3974" s="5"/>
    </row>
    <row r="3975" spans="1:12" ht="28.8" x14ac:dyDescent="0.55000000000000004">
      <c r="A3975" s="9" t="str">
        <f>HYPERLINK("PDF\FOIA-FWS-2020-00724-0003974.pdf","FOIA-FWS-2020-00724-0003974")</f>
        <v>FOIA-FWS-2020-00724-0003974</v>
      </c>
      <c r="B3975" s="3" t="s">
        <v>6294</v>
      </c>
      <c r="C3975" s="3" t="s">
        <v>3</v>
      </c>
      <c r="D3975" s="3" t="s">
        <v>33</v>
      </c>
      <c r="E3975" s="3" t="s">
        <v>6295</v>
      </c>
      <c r="F3975" s="4">
        <v>43893</v>
      </c>
      <c r="G3975" s="3"/>
      <c r="H3975" s="3"/>
      <c r="I3975" s="3" t="s">
        <v>7043</v>
      </c>
      <c r="J3975" s="3"/>
      <c r="K3975" s="3"/>
      <c r="L3975" s="5"/>
    </row>
    <row r="3976" spans="1:12" ht="28.8" x14ac:dyDescent="0.55000000000000004">
      <c r="A3976" s="9" t="str">
        <f>HYPERLINK("PDF\FOIA-FWS-2020-00724-0003975.pdf","FOIA-FWS-2020-00724-0003975")</f>
        <v>FOIA-FWS-2020-00724-0003975</v>
      </c>
      <c r="B3976" s="3" t="s">
        <v>6296</v>
      </c>
      <c r="C3976" s="3" t="s">
        <v>3</v>
      </c>
      <c r="D3976" s="3" t="s">
        <v>33</v>
      </c>
      <c r="E3976" s="3" t="s">
        <v>6297</v>
      </c>
      <c r="F3976" s="4">
        <v>43893.538888888892</v>
      </c>
      <c r="G3976" s="3" t="s">
        <v>1119</v>
      </c>
      <c r="H3976" s="3" t="s">
        <v>5604</v>
      </c>
      <c r="I3976" s="3" t="s">
        <v>7043</v>
      </c>
      <c r="J3976" s="3"/>
      <c r="K3976" s="3"/>
      <c r="L3976" s="5"/>
    </row>
    <row r="3977" spans="1:12" ht="28.8" x14ac:dyDescent="0.55000000000000004">
      <c r="A3977" s="9" t="str">
        <f>HYPERLINK("PDF\FOIA-FWS-2020-00724-0003976.pdf","FOIA-FWS-2020-00724-0003976")</f>
        <v>FOIA-FWS-2020-00724-0003976</v>
      </c>
      <c r="B3977" s="3" t="s">
        <v>6296</v>
      </c>
      <c r="C3977" s="3" t="s">
        <v>234</v>
      </c>
      <c r="D3977" s="3" t="s">
        <v>33</v>
      </c>
      <c r="E3977" s="3" t="s">
        <v>6298</v>
      </c>
      <c r="F3977" s="4">
        <v>43893.538888888892</v>
      </c>
      <c r="G3977" s="3"/>
      <c r="H3977" s="3"/>
      <c r="I3977" s="3" t="s">
        <v>7043</v>
      </c>
      <c r="J3977" s="3"/>
      <c r="K3977" s="3"/>
      <c r="L3977" s="5"/>
    </row>
    <row r="3978" spans="1:12" ht="28.8" x14ac:dyDescent="0.55000000000000004">
      <c r="A3978" s="9" t="str">
        <f>HYPERLINK("PDF\FOIA-FWS-2020-00724-0003977.pdf","FOIA-FWS-2020-00724-0003977")</f>
        <v>FOIA-FWS-2020-00724-0003977</v>
      </c>
      <c r="B3978" s="3" t="s">
        <v>6299</v>
      </c>
      <c r="C3978" s="3" t="s">
        <v>3</v>
      </c>
      <c r="D3978" s="3" t="s">
        <v>33</v>
      </c>
      <c r="E3978" s="3" t="s">
        <v>6248</v>
      </c>
      <c r="F3978" s="4">
        <v>43893.540972222225</v>
      </c>
      <c r="G3978" s="3" t="s">
        <v>1907</v>
      </c>
      <c r="H3978" s="3" t="s">
        <v>6300</v>
      </c>
      <c r="I3978" s="3" t="s">
        <v>7043</v>
      </c>
      <c r="J3978" s="3"/>
      <c r="K3978" s="3"/>
      <c r="L3978" s="5"/>
    </row>
    <row r="3979" spans="1:12" ht="28.8" x14ac:dyDescent="0.55000000000000004">
      <c r="A3979" s="9" t="str">
        <f>HYPERLINK("PDF\FOIA-FWS-2020-00724-0003978.pdf","FOIA-FWS-2020-00724-0003978")</f>
        <v>FOIA-FWS-2020-00724-0003978</v>
      </c>
      <c r="B3979" s="3" t="s">
        <v>6301</v>
      </c>
      <c r="C3979" s="3" t="s">
        <v>3</v>
      </c>
      <c r="D3979" s="3" t="s">
        <v>33</v>
      </c>
      <c r="E3979" s="3" t="s">
        <v>6303</v>
      </c>
      <c r="F3979" s="4">
        <v>43893.575694444444</v>
      </c>
      <c r="G3979" s="3" t="s">
        <v>872</v>
      </c>
      <c r="H3979" s="3" t="s">
        <v>6302</v>
      </c>
      <c r="I3979" s="3" t="s">
        <v>7043</v>
      </c>
      <c r="J3979" s="3"/>
      <c r="K3979" s="3"/>
      <c r="L3979" s="5"/>
    </row>
    <row r="3980" spans="1:12" ht="28.8" x14ac:dyDescent="0.55000000000000004">
      <c r="A3980" s="9" t="str">
        <f>HYPERLINK("PDF\FOIA-FWS-2020-00724-0003979.pdf","FOIA-FWS-2020-00724-0003979")</f>
        <v>FOIA-FWS-2020-00724-0003979</v>
      </c>
      <c r="B3980" s="3" t="s">
        <v>6301</v>
      </c>
      <c r="C3980" s="3" t="s">
        <v>234</v>
      </c>
      <c r="D3980" s="3" t="s">
        <v>33</v>
      </c>
      <c r="E3980" s="3" t="s">
        <v>6304</v>
      </c>
      <c r="F3980" s="4">
        <v>43893.575694444444</v>
      </c>
      <c r="G3980" s="3"/>
      <c r="H3980" s="3"/>
      <c r="I3980" s="3" t="s">
        <v>7043</v>
      </c>
      <c r="J3980" s="3"/>
      <c r="K3980" s="3"/>
      <c r="L3980" s="5"/>
    </row>
    <row r="3981" spans="1:12" ht="43.2" x14ac:dyDescent="0.55000000000000004">
      <c r="A3981" s="9" t="str">
        <f>HYPERLINK("PDF\FOIA-FWS-2020-00724-0003980.pdf","FOIA-FWS-2020-00724-0003980")</f>
        <v>FOIA-FWS-2020-00724-0003980</v>
      </c>
      <c r="B3981" s="3" t="s">
        <v>6305</v>
      </c>
      <c r="C3981" s="3" t="s">
        <v>3</v>
      </c>
      <c r="D3981" s="3" t="s">
        <v>33</v>
      </c>
      <c r="E3981" s="3" t="s">
        <v>6307</v>
      </c>
      <c r="F3981" s="4">
        <v>43893.588194444441</v>
      </c>
      <c r="G3981" s="3" t="s">
        <v>1392</v>
      </c>
      <c r="H3981" s="3" t="s">
        <v>6306</v>
      </c>
      <c r="I3981" s="3" t="s">
        <v>7043</v>
      </c>
      <c r="J3981" s="3"/>
      <c r="K3981" s="3"/>
      <c r="L3981" s="5"/>
    </row>
    <row r="3982" spans="1:12" ht="28.8" x14ac:dyDescent="0.55000000000000004">
      <c r="A3982" s="9" t="str">
        <f>HYPERLINK("PDF\FOIA-FWS-2020-00724-0003981.pdf","FOIA-FWS-2020-00724-0003981")</f>
        <v>FOIA-FWS-2020-00724-0003981</v>
      </c>
      <c r="B3982" s="3" t="s">
        <v>6308</v>
      </c>
      <c r="C3982" s="3" t="s">
        <v>3</v>
      </c>
      <c r="D3982" s="3" t="s">
        <v>33</v>
      </c>
      <c r="E3982" s="3" t="s">
        <v>6309</v>
      </c>
      <c r="F3982" s="4">
        <v>43893.59652777778</v>
      </c>
      <c r="G3982" s="3" t="s">
        <v>1392</v>
      </c>
      <c r="H3982" s="3" t="s">
        <v>3422</v>
      </c>
      <c r="I3982" s="3" t="s">
        <v>7043</v>
      </c>
      <c r="J3982" s="3"/>
      <c r="K3982" s="3"/>
      <c r="L3982" s="5"/>
    </row>
    <row r="3983" spans="1:12" ht="28.8" x14ac:dyDescent="0.55000000000000004">
      <c r="A3983" s="9" t="str">
        <f>HYPERLINK("PDF\FOIA-FWS-2020-00724-0003982.pdf","FOIA-FWS-2020-00724-0003982")</f>
        <v>FOIA-FWS-2020-00724-0003982</v>
      </c>
      <c r="B3983" s="3" t="s">
        <v>6308</v>
      </c>
      <c r="C3983" s="3" t="s">
        <v>234</v>
      </c>
      <c r="D3983" s="3" t="s">
        <v>33</v>
      </c>
      <c r="E3983" s="3" t="s">
        <v>6310</v>
      </c>
      <c r="F3983" s="4">
        <v>43893.59652777778</v>
      </c>
      <c r="G3983" s="3"/>
      <c r="H3983" s="3"/>
      <c r="I3983" s="3" t="s">
        <v>7043</v>
      </c>
      <c r="J3983" s="3"/>
      <c r="K3983" s="3"/>
      <c r="L3983" s="5"/>
    </row>
    <row r="3984" spans="1:12" ht="28.8" x14ac:dyDescent="0.55000000000000004">
      <c r="A3984" s="9" t="str">
        <f>HYPERLINK("PDF\FOIA-FWS-2020-00724-0003983.pdf","FOIA-FWS-2020-00724-0003983")</f>
        <v>FOIA-FWS-2020-00724-0003983</v>
      </c>
      <c r="B3984" s="3" t="s">
        <v>6311</v>
      </c>
      <c r="C3984" s="3" t="s">
        <v>3</v>
      </c>
      <c r="D3984" s="3" t="s">
        <v>33</v>
      </c>
      <c r="E3984" s="3" t="s">
        <v>6313</v>
      </c>
      <c r="F3984" s="4">
        <v>43893.605555555558</v>
      </c>
      <c r="G3984" s="3" t="s">
        <v>872</v>
      </c>
      <c r="H3984" s="3" t="s">
        <v>6312</v>
      </c>
      <c r="I3984" s="3" t="s">
        <v>7043</v>
      </c>
      <c r="J3984" s="3"/>
      <c r="K3984" s="3"/>
      <c r="L3984" s="5"/>
    </row>
    <row r="3985" spans="1:12" ht="28.8" x14ac:dyDescent="0.55000000000000004">
      <c r="A3985" s="9" t="str">
        <f>HYPERLINK("PDF\FOIA-FWS-2020-00724-0003984.pdf","FOIA-FWS-2020-00724-0003984")</f>
        <v>FOIA-FWS-2020-00724-0003984</v>
      </c>
      <c r="B3985" s="3" t="s">
        <v>6314</v>
      </c>
      <c r="C3985" s="3" t="s">
        <v>3</v>
      </c>
      <c r="D3985" s="3" t="s">
        <v>33</v>
      </c>
      <c r="E3985" s="3" t="s">
        <v>6313</v>
      </c>
      <c r="F3985" s="4">
        <v>43893.607638888891</v>
      </c>
      <c r="G3985" s="3" t="s">
        <v>1119</v>
      </c>
      <c r="H3985" s="3" t="s">
        <v>6315</v>
      </c>
      <c r="I3985" s="3" t="s">
        <v>7043</v>
      </c>
      <c r="J3985" s="3"/>
      <c r="K3985" s="3"/>
      <c r="L3985" s="5"/>
    </row>
    <row r="3986" spans="1:12" ht="28.8" x14ac:dyDescent="0.55000000000000004">
      <c r="A3986" s="9" t="str">
        <f>HYPERLINK("PDF\FOIA-FWS-2020-00724-0003985.pdf","FOIA-FWS-2020-00724-0003985")</f>
        <v>FOIA-FWS-2020-00724-0003985</v>
      </c>
      <c r="B3986" s="3" t="s">
        <v>6314</v>
      </c>
      <c r="C3986" s="3" t="s">
        <v>234</v>
      </c>
      <c r="D3986" s="3" t="s">
        <v>33</v>
      </c>
      <c r="E3986" s="3" t="s">
        <v>6316</v>
      </c>
      <c r="F3986" s="4">
        <v>43893.607638888891</v>
      </c>
      <c r="G3986" s="3"/>
      <c r="H3986" s="3"/>
      <c r="I3986" s="3" t="s">
        <v>7043</v>
      </c>
      <c r="J3986" s="3"/>
      <c r="K3986" s="3"/>
      <c r="L3986" s="5"/>
    </row>
    <row r="3987" spans="1:12" ht="28.8" x14ac:dyDescent="0.55000000000000004">
      <c r="A3987" s="9" t="str">
        <f>HYPERLINK("PDF\FOIA-FWS-2020-00724-0003986.pdf","FOIA-FWS-2020-00724-0003986")</f>
        <v>FOIA-FWS-2020-00724-0003986</v>
      </c>
      <c r="B3987" s="3" t="s">
        <v>6317</v>
      </c>
      <c r="C3987" s="3" t="s">
        <v>3</v>
      </c>
      <c r="D3987" s="3" t="s">
        <v>33</v>
      </c>
      <c r="E3987" s="3" t="s">
        <v>6318</v>
      </c>
      <c r="F3987" s="4">
        <v>43893.612500000003</v>
      </c>
      <c r="G3987" s="3" t="s">
        <v>2022</v>
      </c>
      <c r="H3987" s="3" t="s">
        <v>1392</v>
      </c>
      <c r="I3987" s="3" t="s">
        <v>7043</v>
      </c>
      <c r="J3987" s="3"/>
      <c r="K3987" s="3"/>
      <c r="L3987" s="5"/>
    </row>
    <row r="3988" spans="1:12" ht="28.8" x14ac:dyDescent="0.55000000000000004">
      <c r="A3988" s="9" t="str">
        <f>HYPERLINK("PDF\FOIA-FWS-2020-00724-0003987.pdf","FOIA-FWS-2020-00724-0003987")</f>
        <v>FOIA-FWS-2020-00724-0003987</v>
      </c>
      <c r="B3988" s="3" t="s">
        <v>6317</v>
      </c>
      <c r="C3988" s="3" t="s">
        <v>234</v>
      </c>
      <c r="D3988" s="3" t="s">
        <v>33</v>
      </c>
      <c r="E3988" s="3" t="s">
        <v>6319</v>
      </c>
      <c r="F3988" s="4">
        <v>43893.612500000003</v>
      </c>
      <c r="G3988" s="3"/>
      <c r="H3988" s="3"/>
      <c r="I3988" s="3" t="s">
        <v>7043</v>
      </c>
      <c r="J3988" s="3"/>
      <c r="K3988" s="3"/>
      <c r="L3988" s="5"/>
    </row>
    <row r="3989" spans="1:12" ht="28.8" x14ac:dyDescent="0.55000000000000004">
      <c r="A3989" s="9" t="str">
        <f>HYPERLINK("PDF\FOIA-FWS-2020-00724-0003988.pdf","FOIA-FWS-2020-00724-0003988")</f>
        <v>FOIA-FWS-2020-00724-0003988</v>
      </c>
      <c r="B3989" s="3" t="s">
        <v>6320</v>
      </c>
      <c r="C3989" s="3" t="s">
        <v>3</v>
      </c>
      <c r="D3989" s="3" t="s">
        <v>33</v>
      </c>
      <c r="E3989" s="3" t="s">
        <v>6321</v>
      </c>
      <c r="F3989" s="4">
        <v>43893.613194444442</v>
      </c>
      <c r="G3989" s="3" t="s">
        <v>945</v>
      </c>
      <c r="H3989" s="3" t="s">
        <v>872</v>
      </c>
      <c r="I3989" s="3" t="s">
        <v>7043</v>
      </c>
      <c r="J3989" s="3"/>
      <c r="K3989" s="3"/>
      <c r="L3989" s="5"/>
    </row>
    <row r="3990" spans="1:12" ht="28.8" x14ac:dyDescent="0.55000000000000004">
      <c r="A3990" s="9" t="str">
        <f>HYPERLINK("PDF\FOIA-FWS-2020-00724-0003989.pdf","FOIA-FWS-2020-00724-0003989")</f>
        <v>FOIA-FWS-2020-00724-0003989</v>
      </c>
      <c r="B3990" s="3" t="s">
        <v>6322</v>
      </c>
      <c r="C3990" s="3" t="s">
        <v>3</v>
      </c>
      <c r="D3990" s="3" t="s">
        <v>33</v>
      </c>
      <c r="E3990" s="3" t="s">
        <v>6323</v>
      </c>
      <c r="F3990" s="4">
        <v>43893.615277777775</v>
      </c>
      <c r="G3990" s="3" t="s">
        <v>872</v>
      </c>
      <c r="H3990" s="3" t="s">
        <v>945</v>
      </c>
      <c r="I3990" s="3" t="s">
        <v>7043</v>
      </c>
      <c r="J3990" s="3"/>
      <c r="K3990" s="3"/>
      <c r="L3990" s="5"/>
    </row>
    <row r="3991" spans="1:12" ht="28.8" x14ac:dyDescent="0.55000000000000004">
      <c r="A3991" s="9" t="str">
        <f>HYPERLINK("PDF\FOIA-FWS-2020-00724-0003990.pdf","FOIA-FWS-2020-00724-0003990")</f>
        <v>FOIA-FWS-2020-00724-0003990</v>
      </c>
      <c r="B3991" s="3" t="s">
        <v>6324</v>
      </c>
      <c r="C3991" s="3" t="s">
        <v>3</v>
      </c>
      <c r="D3991" s="3" t="s">
        <v>33</v>
      </c>
      <c r="E3991" s="3" t="s">
        <v>6325</v>
      </c>
      <c r="F3991" s="4">
        <v>43893.618750000001</v>
      </c>
      <c r="G3991" s="3" t="s">
        <v>872</v>
      </c>
      <c r="H3991" s="3" t="s">
        <v>945</v>
      </c>
      <c r="I3991" s="3" t="s">
        <v>7043</v>
      </c>
      <c r="J3991" s="3"/>
      <c r="K3991" s="3"/>
      <c r="L3991" s="5"/>
    </row>
    <row r="3992" spans="1:12" ht="28.8" x14ac:dyDescent="0.55000000000000004">
      <c r="A3992" s="9" t="str">
        <f>HYPERLINK("PDF\FOIA-FWS-2020-00724-0003991.pdf","FOIA-FWS-2020-00724-0003991")</f>
        <v>FOIA-FWS-2020-00724-0003991</v>
      </c>
      <c r="B3992" s="3" t="s">
        <v>6326</v>
      </c>
      <c r="C3992" s="3" t="s">
        <v>3</v>
      </c>
      <c r="D3992" s="3" t="s">
        <v>33</v>
      </c>
      <c r="E3992" s="3" t="s">
        <v>6327</v>
      </c>
      <c r="F3992" s="4">
        <v>43893.620833333334</v>
      </c>
      <c r="G3992" s="3" t="s">
        <v>1392</v>
      </c>
      <c r="H3992" s="3" t="s">
        <v>3571</v>
      </c>
      <c r="I3992" s="3" t="s">
        <v>7043</v>
      </c>
      <c r="J3992" s="3"/>
      <c r="K3992" s="3"/>
      <c r="L3992" s="5"/>
    </row>
    <row r="3993" spans="1:12" ht="43.2" x14ac:dyDescent="0.55000000000000004">
      <c r="A3993" s="9" t="str">
        <f>HYPERLINK("PDF\FOIA-FWS-2020-00724-0003992.pdf","FOIA-FWS-2020-00724-0003992")</f>
        <v>FOIA-FWS-2020-00724-0003992</v>
      </c>
      <c r="B3993" s="3" t="s">
        <v>6326</v>
      </c>
      <c r="C3993" s="3" t="s">
        <v>234</v>
      </c>
      <c r="D3993" s="3" t="s">
        <v>33</v>
      </c>
      <c r="E3993" s="3" t="s">
        <v>6328</v>
      </c>
      <c r="F3993" s="4">
        <v>43893.620833333334</v>
      </c>
      <c r="G3993" s="3"/>
      <c r="H3993" s="3"/>
      <c r="I3993" s="3" t="s">
        <v>7043</v>
      </c>
      <c r="J3993" s="3"/>
      <c r="K3993" s="3"/>
      <c r="L3993" s="5"/>
    </row>
    <row r="3994" spans="1:12" ht="28.8" x14ac:dyDescent="0.55000000000000004">
      <c r="A3994" s="9" t="str">
        <f>HYPERLINK("PDF\FOIA-FWS-2020-00724-0003993.pdf","FOIA-FWS-2020-00724-0003993")</f>
        <v>FOIA-FWS-2020-00724-0003993</v>
      </c>
      <c r="B3994" s="3" t="s">
        <v>6326</v>
      </c>
      <c r="C3994" s="3" t="s">
        <v>234</v>
      </c>
      <c r="D3994" s="3" t="s">
        <v>33</v>
      </c>
      <c r="E3994" s="3" t="s">
        <v>6329</v>
      </c>
      <c r="F3994" s="4">
        <v>43893.620833333334</v>
      </c>
      <c r="G3994" s="3"/>
      <c r="H3994" s="3"/>
      <c r="I3994" s="3" t="s">
        <v>7043</v>
      </c>
      <c r="J3994" s="3"/>
      <c r="K3994" s="3"/>
      <c r="L3994" s="5"/>
    </row>
    <row r="3995" spans="1:12" ht="28.8" x14ac:dyDescent="0.55000000000000004">
      <c r="A3995" s="9" t="str">
        <f>HYPERLINK("PDF\FOIA-FWS-2020-00724-0003994.pdf","FOIA-FWS-2020-00724-0003994")</f>
        <v>FOIA-FWS-2020-00724-0003994</v>
      </c>
      <c r="B3995" s="3" t="s">
        <v>6330</v>
      </c>
      <c r="C3995" s="3" t="s">
        <v>3</v>
      </c>
      <c r="D3995" s="3" t="s">
        <v>33</v>
      </c>
      <c r="E3995" s="3" t="s">
        <v>6331</v>
      </c>
      <c r="F3995" s="4">
        <v>43893.654861111114</v>
      </c>
      <c r="G3995" s="3" t="s">
        <v>1392</v>
      </c>
      <c r="H3995" s="3" t="s">
        <v>3571</v>
      </c>
      <c r="I3995" s="3" t="s">
        <v>7043</v>
      </c>
      <c r="J3995" s="3"/>
      <c r="K3995" s="3"/>
      <c r="L3995" s="5"/>
    </row>
    <row r="3996" spans="1:12" ht="28.8" x14ac:dyDescent="0.55000000000000004">
      <c r="A3996" s="9" t="str">
        <f>HYPERLINK("PDF\FOIA-FWS-2020-00724-0003995.pdf","FOIA-FWS-2020-00724-0003995")</f>
        <v>FOIA-FWS-2020-00724-0003995</v>
      </c>
      <c r="B3996" s="3" t="s">
        <v>6330</v>
      </c>
      <c r="C3996" s="3" t="s">
        <v>234</v>
      </c>
      <c r="D3996" s="3" t="s">
        <v>33</v>
      </c>
      <c r="E3996" s="3" t="s">
        <v>6332</v>
      </c>
      <c r="F3996" s="4">
        <v>43893.654861111114</v>
      </c>
      <c r="G3996" s="3"/>
      <c r="H3996" s="3"/>
      <c r="I3996" s="3" t="s">
        <v>7043</v>
      </c>
      <c r="J3996" s="3"/>
      <c r="K3996" s="3"/>
      <c r="L3996" s="5"/>
    </row>
    <row r="3997" spans="1:12" ht="28.8" x14ac:dyDescent="0.55000000000000004">
      <c r="A3997" s="9" t="str">
        <f>HYPERLINK("PDF\FOIA-FWS-2020-00724-0003996.pdf","FOIA-FWS-2020-00724-0003996")</f>
        <v>FOIA-FWS-2020-00724-0003996</v>
      </c>
      <c r="B3997" s="3" t="s">
        <v>6333</v>
      </c>
      <c r="C3997" s="3" t="s">
        <v>3</v>
      </c>
      <c r="D3997" s="3" t="s">
        <v>33</v>
      </c>
      <c r="E3997" s="3" t="s">
        <v>6313</v>
      </c>
      <c r="F3997" s="4">
        <v>43893.675694444442</v>
      </c>
      <c r="G3997" s="3" t="s">
        <v>872</v>
      </c>
      <c r="H3997" s="3" t="s">
        <v>6334</v>
      </c>
      <c r="I3997" s="3" t="s">
        <v>7043</v>
      </c>
      <c r="J3997" s="3"/>
      <c r="K3997" s="3"/>
      <c r="L3997" s="5"/>
    </row>
    <row r="3998" spans="1:12" ht="28.8" x14ac:dyDescent="0.55000000000000004">
      <c r="A3998" s="9" t="str">
        <f>HYPERLINK("PDF\FOIA-FWS-2020-00724-0003997.pdf","FOIA-FWS-2020-00724-0003997")</f>
        <v>FOIA-FWS-2020-00724-0003997</v>
      </c>
      <c r="B3998" s="3" t="s">
        <v>6333</v>
      </c>
      <c r="C3998" s="3" t="s">
        <v>234</v>
      </c>
      <c r="D3998" s="3" t="s">
        <v>33</v>
      </c>
      <c r="E3998" s="3" t="s">
        <v>6335</v>
      </c>
      <c r="F3998" s="4">
        <v>43893.675694444442</v>
      </c>
      <c r="G3998" s="3"/>
      <c r="H3998" s="3"/>
      <c r="I3998" s="3" t="s">
        <v>7043</v>
      </c>
      <c r="J3998" s="3"/>
      <c r="K3998" s="3"/>
      <c r="L3998" s="5"/>
    </row>
    <row r="3999" spans="1:12" ht="28.8" x14ac:dyDescent="0.55000000000000004">
      <c r="A3999" s="9" t="str">
        <f>HYPERLINK("PDF\FOIA-FWS-2020-00724-0003998.pdf","FOIA-FWS-2020-00724-0003998")</f>
        <v>FOIA-FWS-2020-00724-0003998</v>
      </c>
      <c r="B3999" s="3" t="s">
        <v>6336</v>
      </c>
      <c r="C3999" s="3" t="s">
        <v>3</v>
      </c>
      <c r="D3999" s="3" t="s">
        <v>33</v>
      </c>
      <c r="E3999" s="3" t="s">
        <v>6309</v>
      </c>
      <c r="F3999" s="4">
        <v>43893.695833333331</v>
      </c>
      <c r="G3999" s="3" t="s">
        <v>1392</v>
      </c>
      <c r="H3999" s="3" t="s">
        <v>5989</v>
      </c>
      <c r="I3999" s="3" t="s">
        <v>7043</v>
      </c>
      <c r="J3999" s="3"/>
      <c r="K3999" s="3"/>
      <c r="L3999" s="5"/>
    </row>
    <row r="4000" spans="1:12" ht="28.8" x14ac:dyDescent="0.55000000000000004">
      <c r="A4000" s="9" t="str">
        <f>HYPERLINK("PDF\FOIA-FWS-2020-00724-0003999.pdf","FOIA-FWS-2020-00724-0003999")</f>
        <v>FOIA-FWS-2020-00724-0003999</v>
      </c>
      <c r="B4000" s="3" t="s">
        <v>6336</v>
      </c>
      <c r="C4000" s="3" t="s">
        <v>234</v>
      </c>
      <c r="D4000" s="3" t="s">
        <v>33</v>
      </c>
      <c r="E4000" s="3" t="s">
        <v>6337</v>
      </c>
      <c r="F4000" s="4">
        <v>43893.695833333331</v>
      </c>
      <c r="G4000" s="3"/>
      <c r="H4000" s="3"/>
      <c r="I4000" s="3" t="s">
        <v>7043</v>
      </c>
      <c r="J4000" s="3"/>
      <c r="K4000" s="3"/>
      <c r="L4000" s="5"/>
    </row>
    <row r="4001" spans="1:12" ht="28.8" x14ac:dyDescent="0.55000000000000004">
      <c r="A4001" s="9" t="str">
        <f>HYPERLINK("PDF\FOIA-FWS-2020-00724-0004000.pdf","FOIA-FWS-2020-00724-0004000")</f>
        <v>FOIA-FWS-2020-00724-0004000</v>
      </c>
      <c r="B4001" s="3" t="s">
        <v>6338</v>
      </c>
      <c r="C4001" s="3" t="s">
        <v>3</v>
      </c>
      <c r="D4001" s="3" t="s">
        <v>33</v>
      </c>
      <c r="E4001" s="3" t="s">
        <v>6340</v>
      </c>
      <c r="F4001" s="4">
        <v>43893.714583333334</v>
      </c>
      <c r="G4001" s="3" t="s">
        <v>1392</v>
      </c>
      <c r="H4001" s="3" t="s">
        <v>6339</v>
      </c>
      <c r="I4001" s="3" t="s">
        <v>7043</v>
      </c>
      <c r="J4001" s="3"/>
      <c r="K4001" s="3"/>
      <c r="L4001" s="5"/>
    </row>
    <row r="4002" spans="1:12" ht="43.2" x14ac:dyDescent="0.55000000000000004">
      <c r="A4002" s="9" t="str">
        <f>HYPERLINK("PDF\FOIA-FWS-2020-00724-0004001.pdf","FOIA-FWS-2020-00724-0004001")</f>
        <v>FOIA-FWS-2020-00724-0004001</v>
      </c>
      <c r="B4002" s="3" t="s">
        <v>6341</v>
      </c>
      <c r="C4002" s="3" t="s">
        <v>3</v>
      </c>
      <c r="D4002" s="3" t="s">
        <v>33</v>
      </c>
      <c r="E4002" s="3" t="s">
        <v>6343</v>
      </c>
      <c r="F4002" s="4">
        <v>43893.71597222222</v>
      </c>
      <c r="G4002" s="3" t="s">
        <v>872</v>
      </c>
      <c r="H4002" s="3" t="s">
        <v>6342</v>
      </c>
      <c r="I4002" s="3" t="s">
        <v>7043</v>
      </c>
      <c r="J4002" s="3"/>
      <c r="K4002" s="3"/>
      <c r="L4002" s="5"/>
    </row>
    <row r="4003" spans="1:12" ht="28.8" x14ac:dyDescent="0.55000000000000004">
      <c r="A4003" s="9" t="str">
        <f>HYPERLINK("PDF\FOIA-FWS-2020-00724-0004002.pdf","FOIA-FWS-2020-00724-0004002")</f>
        <v>FOIA-FWS-2020-00724-0004002</v>
      </c>
      <c r="B4003" s="3" t="s">
        <v>6341</v>
      </c>
      <c r="C4003" s="3" t="s">
        <v>234</v>
      </c>
      <c r="D4003" s="3" t="s">
        <v>33</v>
      </c>
      <c r="E4003" s="3" t="s">
        <v>6178</v>
      </c>
      <c r="F4003" s="4">
        <v>43893.71597222222</v>
      </c>
      <c r="G4003" s="3"/>
      <c r="H4003" s="3"/>
      <c r="I4003" s="3" t="s">
        <v>7043</v>
      </c>
      <c r="J4003" s="3"/>
      <c r="K4003" s="3"/>
      <c r="L4003" s="5"/>
    </row>
    <row r="4004" spans="1:12" ht="43.2" x14ac:dyDescent="0.55000000000000004">
      <c r="A4004" s="9" t="str">
        <f>HYPERLINK("PDF\FOIA-FWS-2020-00724-0004003.pdf","FOIA-FWS-2020-00724-0004003")</f>
        <v>FOIA-FWS-2020-00724-0004003</v>
      </c>
      <c r="B4004" s="3" t="s">
        <v>6344</v>
      </c>
      <c r="C4004" s="3" t="s">
        <v>3</v>
      </c>
      <c r="D4004" s="3" t="s">
        <v>33</v>
      </c>
      <c r="E4004" s="3" t="s">
        <v>6346</v>
      </c>
      <c r="F4004" s="4">
        <v>43893.722916666666</v>
      </c>
      <c r="G4004" s="3" t="s">
        <v>1392</v>
      </c>
      <c r="H4004" s="3" t="s">
        <v>6345</v>
      </c>
      <c r="I4004" s="3" t="s">
        <v>7043</v>
      </c>
      <c r="J4004" s="3"/>
      <c r="K4004" s="3"/>
      <c r="L4004" s="5"/>
    </row>
    <row r="4005" spans="1:12" ht="28.8" x14ac:dyDescent="0.55000000000000004">
      <c r="A4005" s="9" t="str">
        <f>HYPERLINK("PDF\FOIA-FWS-2020-00724-0004004.pdf","FOIA-FWS-2020-00724-0004004")</f>
        <v>FOIA-FWS-2020-00724-0004004</v>
      </c>
      <c r="B4005" s="3" t="s">
        <v>6347</v>
      </c>
      <c r="C4005" s="3" t="s">
        <v>3</v>
      </c>
      <c r="D4005" s="3" t="s">
        <v>33</v>
      </c>
      <c r="E4005" s="3" t="s">
        <v>6348</v>
      </c>
      <c r="F4005" s="4">
        <v>43893.740277777775</v>
      </c>
      <c r="G4005" s="3" t="s">
        <v>1119</v>
      </c>
      <c r="H4005" s="3" t="s">
        <v>963</v>
      </c>
      <c r="I4005" s="3" t="s">
        <v>7043</v>
      </c>
      <c r="J4005" s="3"/>
      <c r="K4005" s="3"/>
      <c r="L4005" s="5"/>
    </row>
    <row r="4006" spans="1:12" ht="28.8" x14ac:dyDescent="0.55000000000000004">
      <c r="A4006" s="9" t="str">
        <f>HYPERLINK("PDF\FOIA-FWS-2020-00724-0004005.pdf","FOIA-FWS-2020-00724-0004005")</f>
        <v>FOIA-FWS-2020-00724-0004005</v>
      </c>
      <c r="B4006" s="3" t="s">
        <v>6347</v>
      </c>
      <c r="C4006" s="3" t="s">
        <v>234</v>
      </c>
      <c r="D4006" s="3" t="s">
        <v>4</v>
      </c>
      <c r="E4006" s="3" t="s">
        <v>6349</v>
      </c>
      <c r="F4006" s="4">
        <v>43893.740277777775</v>
      </c>
      <c r="G4006" s="3"/>
      <c r="H4006" s="3"/>
      <c r="I4006" s="3" t="s">
        <v>7043</v>
      </c>
      <c r="J4006" s="3"/>
      <c r="K4006" s="3"/>
      <c r="L4006" s="5"/>
    </row>
    <row r="4007" spans="1:12" ht="28.8" x14ac:dyDescent="0.55000000000000004">
      <c r="A4007" s="9" t="str">
        <f>HYPERLINK("PDF\FOIA-FWS-2020-00724-0004006.pdf","FOIA-FWS-2020-00724-0004006")</f>
        <v>FOIA-FWS-2020-00724-0004006</v>
      </c>
      <c r="B4007" s="3" t="s">
        <v>6350</v>
      </c>
      <c r="C4007" s="3" t="s">
        <v>3</v>
      </c>
      <c r="D4007" s="3" t="s">
        <v>33</v>
      </c>
      <c r="E4007" s="3" t="s">
        <v>6351</v>
      </c>
      <c r="F4007" s="4">
        <v>43893.740972222222</v>
      </c>
      <c r="G4007" s="3" t="s">
        <v>2022</v>
      </c>
      <c r="H4007" s="3" t="s">
        <v>6312</v>
      </c>
      <c r="I4007" s="3" t="s">
        <v>7043</v>
      </c>
      <c r="J4007" s="3"/>
      <c r="K4007" s="3"/>
      <c r="L4007" s="5"/>
    </row>
    <row r="4008" spans="1:12" ht="28.8" x14ac:dyDescent="0.55000000000000004">
      <c r="A4008" s="9" t="str">
        <f>HYPERLINK("PDF\FOIA-FWS-2020-00724-0004007.pdf","FOIA-FWS-2020-00724-0004007")</f>
        <v>FOIA-FWS-2020-00724-0004007</v>
      </c>
      <c r="B4008" s="3" t="s">
        <v>6352</v>
      </c>
      <c r="C4008" s="3" t="s">
        <v>3</v>
      </c>
      <c r="D4008" s="3" t="s">
        <v>33</v>
      </c>
      <c r="E4008" s="3" t="s">
        <v>6313</v>
      </c>
      <c r="F4008" s="4">
        <v>43893.743750000001</v>
      </c>
      <c r="G4008" s="3" t="s">
        <v>872</v>
      </c>
      <c r="H4008" s="3" t="s">
        <v>1119</v>
      </c>
      <c r="I4008" s="3" t="s">
        <v>7043</v>
      </c>
      <c r="J4008" s="3"/>
      <c r="K4008" s="3"/>
      <c r="L4008" s="5"/>
    </row>
    <row r="4009" spans="1:12" ht="28.8" x14ac:dyDescent="0.55000000000000004">
      <c r="A4009" s="9" t="str">
        <f>HYPERLINK("PDF\FOIA-FWS-2020-00724-0004008.pdf","FOIA-FWS-2020-00724-0004008")</f>
        <v>FOIA-FWS-2020-00724-0004008</v>
      </c>
      <c r="B4009" s="3" t="s">
        <v>6353</v>
      </c>
      <c r="C4009" s="3" t="s">
        <v>3</v>
      </c>
      <c r="D4009" s="3" t="s">
        <v>33</v>
      </c>
      <c r="E4009" s="3" t="s">
        <v>6354</v>
      </c>
      <c r="F4009" s="4">
        <v>43893.804166666669</v>
      </c>
      <c r="G4009" s="3" t="s">
        <v>872</v>
      </c>
      <c r="H4009" s="3" t="s">
        <v>5274</v>
      </c>
      <c r="I4009" s="3" t="s">
        <v>7043</v>
      </c>
      <c r="J4009" s="3"/>
      <c r="K4009" s="3"/>
      <c r="L4009" s="5"/>
    </row>
    <row r="4010" spans="1:12" ht="28.8" x14ac:dyDescent="0.55000000000000004">
      <c r="A4010" s="9" t="str">
        <f>HYPERLINK("PDF\FOIA-FWS-2020-00724-0004009.pdf","FOIA-FWS-2020-00724-0004009")</f>
        <v>FOIA-FWS-2020-00724-0004009</v>
      </c>
      <c r="B4010" s="3" t="s">
        <v>6355</v>
      </c>
      <c r="C4010" s="3" t="s">
        <v>3</v>
      </c>
      <c r="D4010" s="3" t="s">
        <v>33</v>
      </c>
      <c r="E4010" s="3" t="s">
        <v>6356</v>
      </c>
      <c r="F4010" s="4">
        <v>43893.8125</v>
      </c>
      <c r="G4010" s="3" t="s">
        <v>872</v>
      </c>
      <c r="H4010" s="3" t="s">
        <v>945</v>
      </c>
      <c r="I4010" s="3" t="s">
        <v>7043</v>
      </c>
      <c r="J4010" s="3"/>
      <c r="K4010" s="3"/>
      <c r="L4010" s="5"/>
    </row>
    <row r="4011" spans="1:12" ht="28.8" x14ac:dyDescent="0.55000000000000004">
      <c r="A4011" s="9" t="str">
        <f>HYPERLINK("PDF\FOIA-FWS-2020-00724-0004010.pdf","FOIA-FWS-2020-00724-0004010")</f>
        <v>FOIA-FWS-2020-00724-0004010</v>
      </c>
      <c r="B4011" s="3" t="s">
        <v>6357</v>
      </c>
      <c r="C4011" s="3" t="s">
        <v>3</v>
      </c>
      <c r="D4011" s="3" t="s">
        <v>33</v>
      </c>
      <c r="E4011" s="3" t="s">
        <v>6358</v>
      </c>
      <c r="F4011" s="4">
        <v>43893.85</v>
      </c>
      <c r="G4011" s="3" t="s">
        <v>1392</v>
      </c>
      <c r="H4011" s="3" t="s">
        <v>5800</v>
      </c>
      <c r="I4011" s="3" t="s">
        <v>7043</v>
      </c>
      <c r="J4011" s="3"/>
      <c r="K4011" s="3"/>
      <c r="L4011" s="5"/>
    </row>
    <row r="4012" spans="1:12" ht="28.8" x14ac:dyDescent="0.55000000000000004">
      <c r="A4012" s="9" t="str">
        <f>HYPERLINK("PDF\FOIA-FWS-2020-00724-0004011.pdf","FOIA-FWS-2020-00724-0004011")</f>
        <v>FOIA-FWS-2020-00724-0004011</v>
      </c>
      <c r="B4012" s="3" t="s">
        <v>6359</v>
      </c>
      <c r="C4012" s="3" t="s">
        <v>3</v>
      </c>
      <c r="D4012" s="3" t="s">
        <v>33</v>
      </c>
      <c r="E4012" s="3" t="s">
        <v>6360</v>
      </c>
      <c r="F4012" s="4">
        <v>43894</v>
      </c>
      <c r="G4012" s="3"/>
      <c r="H4012" s="3"/>
      <c r="I4012" s="3" t="s">
        <v>7043</v>
      </c>
      <c r="J4012" s="3"/>
      <c r="K4012" s="3"/>
      <c r="L4012" s="5"/>
    </row>
    <row r="4013" spans="1:12" ht="28.8" x14ac:dyDescent="0.55000000000000004">
      <c r="A4013" s="9" t="str">
        <f>HYPERLINK("PDF\FOIA-FWS-2020-00724-0004012.pdf","FOIA-FWS-2020-00724-0004012")</f>
        <v>FOIA-FWS-2020-00724-0004012</v>
      </c>
      <c r="B4013" s="3" t="s">
        <v>6361</v>
      </c>
      <c r="C4013" s="3" t="s">
        <v>3</v>
      </c>
      <c r="D4013" s="3" t="s">
        <v>33</v>
      </c>
      <c r="E4013" s="3" t="s">
        <v>6362</v>
      </c>
      <c r="F4013" s="4">
        <v>43894</v>
      </c>
      <c r="G4013" s="3"/>
      <c r="H4013" s="3"/>
      <c r="I4013" s="3" t="s">
        <v>7043</v>
      </c>
      <c r="J4013" s="3"/>
      <c r="K4013" s="3"/>
      <c r="L4013" s="5"/>
    </row>
    <row r="4014" spans="1:12" ht="28.8" x14ac:dyDescent="0.55000000000000004">
      <c r="A4014" s="9" t="str">
        <f>HYPERLINK("PDF\FOIA-FWS-2020-00724-0004013.pdf","FOIA-FWS-2020-00724-0004013")</f>
        <v>FOIA-FWS-2020-00724-0004013</v>
      </c>
      <c r="B4014" s="3" t="s">
        <v>6363</v>
      </c>
      <c r="C4014" s="3" t="s">
        <v>3</v>
      </c>
      <c r="D4014" s="3" t="s">
        <v>4</v>
      </c>
      <c r="E4014" s="3" t="s">
        <v>6364</v>
      </c>
      <c r="F4014" s="4">
        <v>43894</v>
      </c>
      <c r="G4014" s="3"/>
      <c r="H4014" s="3"/>
      <c r="I4014" s="3" t="s">
        <v>7043</v>
      </c>
      <c r="J4014" s="3"/>
      <c r="K4014" s="3"/>
      <c r="L4014" s="5"/>
    </row>
    <row r="4015" spans="1:12" ht="43.2" x14ac:dyDescent="0.55000000000000004">
      <c r="A4015" s="9" t="str">
        <f>HYPERLINK("PDF\FOIA-FWS-2020-00724-0004014.pdf","FOIA-FWS-2020-00724-0004014")</f>
        <v>FOIA-FWS-2020-00724-0004014</v>
      </c>
      <c r="B4015" s="3" t="s">
        <v>6365</v>
      </c>
      <c r="C4015" s="3" t="s">
        <v>3</v>
      </c>
      <c r="D4015" s="3" t="s">
        <v>38</v>
      </c>
      <c r="E4015" s="3" t="s">
        <v>6366</v>
      </c>
      <c r="F4015" s="4">
        <v>43894</v>
      </c>
      <c r="G4015" s="3"/>
      <c r="H4015" s="3"/>
      <c r="I4015" s="3" t="s">
        <v>7043</v>
      </c>
      <c r="J4015" s="3"/>
      <c r="K4015" s="3"/>
      <c r="L4015" s="5"/>
    </row>
    <row r="4016" spans="1:12" ht="28.8" x14ac:dyDescent="0.55000000000000004">
      <c r="A4016" s="9" t="str">
        <f>HYPERLINK("PDF\FOIA-FWS-2020-00724-0004015.pdf","FOIA-FWS-2020-00724-0004015")</f>
        <v>FOIA-FWS-2020-00724-0004015</v>
      </c>
      <c r="B4016" s="3" t="s">
        <v>6367</v>
      </c>
      <c r="C4016" s="3" t="s">
        <v>3</v>
      </c>
      <c r="D4016" s="3" t="s">
        <v>4</v>
      </c>
      <c r="E4016" s="3" t="s">
        <v>6368</v>
      </c>
      <c r="F4016" s="4">
        <v>43894</v>
      </c>
      <c r="G4016" s="3"/>
      <c r="H4016" s="3"/>
      <c r="I4016" s="3" t="s">
        <v>7043</v>
      </c>
      <c r="J4016" s="3"/>
      <c r="K4016" s="3"/>
      <c r="L4016" s="5"/>
    </row>
    <row r="4017" spans="1:12" ht="57.6" x14ac:dyDescent="0.55000000000000004">
      <c r="A4017" s="9" t="str">
        <f>HYPERLINK("PDF\FOIA-FWS-2020-00724-0004016.pdf","FOIA-FWS-2020-00724-0004016")</f>
        <v>FOIA-FWS-2020-00724-0004016</v>
      </c>
      <c r="B4017" s="3" t="s">
        <v>6369</v>
      </c>
      <c r="C4017" s="3" t="s">
        <v>3</v>
      </c>
      <c r="D4017" s="3" t="s">
        <v>33</v>
      </c>
      <c r="E4017" s="3" t="s">
        <v>6370</v>
      </c>
      <c r="F4017" s="4">
        <v>43894</v>
      </c>
      <c r="G4017" s="3" t="s">
        <v>963</v>
      </c>
      <c r="H4017" s="3" t="s">
        <v>945</v>
      </c>
      <c r="I4017" s="3" t="s">
        <v>7043</v>
      </c>
      <c r="J4017" s="3"/>
      <c r="K4017" s="3"/>
      <c r="L4017" s="5"/>
    </row>
    <row r="4018" spans="1:12" ht="28.8" x14ac:dyDescent="0.55000000000000004">
      <c r="A4018" s="9" t="str">
        <f>HYPERLINK("PDF\FOIA-FWS-2020-00724-0004017.pdf","FOIA-FWS-2020-00724-0004017")</f>
        <v>FOIA-FWS-2020-00724-0004017</v>
      </c>
      <c r="B4018" s="3" t="s">
        <v>6371</v>
      </c>
      <c r="C4018" s="3" t="s">
        <v>3</v>
      </c>
      <c r="D4018" s="3" t="s">
        <v>38</v>
      </c>
      <c r="E4018" s="3" t="s">
        <v>6364</v>
      </c>
      <c r="F4018" s="4">
        <v>43894</v>
      </c>
      <c r="G4018" s="3"/>
      <c r="H4018" s="3"/>
      <c r="I4018" s="3" t="s">
        <v>7043</v>
      </c>
      <c r="J4018" s="3"/>
      <c r="K4018" s="3"/>
      <c r="L4018" s="5"/>
    </row>
    <row r="4019" spans="1:12" ht="43.2" x14ac:dyDescent="0.55000000000000004">
      <c r="A4019" s="9" t="str">
        <f>HYPERLINK("PDF\FOIA-FWS-2020-00724-0004018.pdf","FOIA-FWS-2020-00724-0004018")</f>
        <v>FOIA-FWS-2020-00724-0004018</v>
      </c>
      <c r="B4019" s="3" t="s">
        <v>6372</v>
      </c>
      <c r="C4019" s="3" t="s">
        <v>3</v>
      </c>
      <c r="D4019" s="3" t="s">
        <v>38</v>
      </c>
      <c r="E4019" s="3" t="s">
        <v>6366</v>
      </c>
      <c r="F4019" s="4">
        <v>43894</v>
      </c>
      <c r="G4019" s="3"/>
      <c r="H4019" s="3"/>
      <c r="I4019" s="3" t="s">
        <v>7043</v>
      </c>
      <c r="J4019" s="3"/>
      <c r="K4019" s="3"/>
      <c r="L4019" s="5"/>
    </row>
    <row r="4020" spans="1:12" ht="43.2" x14ac:dyDescent="0.55000000000000004">
      <c r="A4020" s="9" t="str">
        <f>HYPERLINK("PDF\FOIA-FWS-2020-00724-0004019.pdf","FOIA-FWS-2020-00724-0004019")</f>
        <v>FOIA-FWS-2020-00724-0004019</v>
      </c>
      <c r="B4020" s="3" t="s">
        <v>6373</v>
      </c>
      <c r="C4020" s="3" t="s">
        <v>3</v>
      </c>
      <c r="D4020" s="3" t="s">
        <v>33</v>
      </c>
      <c r="E4020" s="3" t="s">
        <v>6375</v>
      </c>
      <c r="F4020" s="4">
        <v>43894.479166666664</v>
      </c>
      <c r="G4020" s="3" t="s">
        <v>5800</v>
      </c>
      <c r="H4020" s="3" t="s">
        <v>6374</v>
      </c>
      <c r="I4020" s="3" t="s">
        <v>7043</v>
      </c>
      <c r="J4020" s="3"/>
      <c r="K4020" s="3"/>
      <c r="L4020" s="5"/>
    </row>
    <row r="4021" spans="1:12" ht="28.8" x14ac:dyDescent="0.55000000000000004">
      <c r="A4021" s="9" t="str">
        <f>HYPERLINK("PDF\FOIA-FWS-2020-00724-0004020.pdf","FOIA-FWS-2020-00724-0004020")</f>
        <v>FOIA-FWS-2020-00724-0004020</v>
      </c>
      <c r="B4021" s="3" t="s">
        <v>6373</v>
      </c>
      <c r="C4021" s="3" t="s">
        <v>234</v>
      </c>
      <c r="D4021" s="3" t="s">
        <v>33</v>
      </c>
      <c r="E4021" s="3" t="s">
        <v>6376</v>
      </c>
      <c r="F4021" s="4">
        <v>43894.479166666664</v>
      </c>
      <c r="G4021" s="3"/>
      <c r="H4021" s="3"/>
      <c r="I4021" s="3" t="s">
        <v>7043</v>
      </c>
      <c r="J4021" s="3"/>
      <c r="K4021" s="3"/>
      <c r="L4021" s="5"/>
    </row>
    <row r="4022" spans="1:12" ht="28.8" x14ac:dyDescent="0.55000000000000004">
      <c r="A4022" s="9" t="str">
        <f>HYPERLINK("PDF\FOIA-FWS-2020-00724-0004021.pdf","FOIA-FWS-2020-00724-0004021")</f>
        <v>FOIA-FWS-2020-00724-0004021</v>
      </c>
      <c r="B4022" s="3" t="s">
        <v>6377</v>
      </c>
      <c r="C4022" s="3" t="s">
        <v>3</v>
      </c>
      <c r="D4022" s="3" t="s">
        <v>33</v>
      </c>
      <c r="E4022" s="3" t="s">
        <v>6379</v>
      </c>
      <c r="F4022" s="4">
        <v>43894.488888888889</v>
      </c>
      <c r="G4022" s="3" t="s">
        <v>945</v>
      </c>
      <c r="H4022" s="3" t="s">
        <v>6378</v>
      </c>
      <c r="I4022" s="3" t="s">
        <v>7043</v>
      </c>
      <c r="J4022" s="3"/>
      <c r="K4022" s="3"/>
      <c r="L4022" s="5"/>
    </row>
    <row r="4023" spans="1:12" ht="28.8" x14ac:dyDescent="0.55000000000000004">
      <c r="A4023" s="9" t="str">
        <f>HYPERLINK("PDF\FOIA-FWS-2020-00724-0004022.pdf","FOIA-FWS-2020-00724-0004022")</f>
        <v>FOIA-FWS-2020-00724-0004022</v>
      </c>
      <c r="B4023" s="3" t="s">
        <v>6380</v>
      </c>
      <c r="C4023" s="3" t="s">
        <v>3</v>
      </c>
      <c r="D4023" s="3" t="s">
        <v>33</v>
      </c>
      <c r="E4023" s="3" t="s">
        <v>6381</v>
      </c>
      <c r="F4023" s="4">
        <v>43894.490277777775</v>
      </c>
      <c r="G4023" s="3" t="s">
        <v>1516</v>
      </c>
      <c r="H4023" s="3" t="s">
        <v>1119</v>
      </c>
      <c r="I4023" s="3" t="s">
        <v>7043</v>
      </c>
      <c r="J4023" s="3"/>
      <c r="K4023" s="3"/>
      <c r="L4023" s="5"/>
    </row>
    <row r="4024" spans="1:12" ht="43.2" x14ac:dyDescent="0.55000000000000004">
      <c r="A4024" s="9" t="str">
        <f>HYPERLINK("PDF\FOIA-FWS-2020-00724-0004023.pdf","FOIA-FWS-2020-00724-0004023")</f>
        <v>FOIA-FWS-2020-00724-0004023</v>
      </c>
      <c r="B4024" s="3" t="s">
        <v>6382</v>
      </c>
      <c r="C4024" s="3" t="s">
        <v>3</v>
      </c>
      <c r="D4024" s="3" t="s">
        <v>33</v>
      </c>
      <c r="E4024" s="3" t="s">
        <v>6383</v>
      </c>
      <c r="F4024" s="4">
        <v>43894.493750000001</v>
      </c>
      <c r="G4024" s="3" t="s">
        <v>1516</v>
      </c>
      <c r="H4024" s="3" t="s">
        <v>1119</v>
      </c>
      <c r="I4024" s="3" t="s">
        <v>7043</v>
      </c>
      <c r="J4024" s="3"/>
      <c r="K4024" s="3"/>
      <c r="L4024" s="5"/>
    </row>
    <row r="4025" spans="1:12" ht="28.8" x14ac:dyDescent="0.55000000000000004">
      <c r="A4025" s="9" t="str">
        <f>HYPERLINK("PDF\FOIA-FWS-2020-00724-0004024.pdf","FOIA-FWS-2020-00724-0004024")</f>
        <v>FOIA-FWS-2020-00724-0004024</v>
      </c>
      <c r="B4025" s="3" t="s">
        <v>6384</v>
      </c>
      <c r="C4025" s="3" t="s">
        <v>3</v>
      </c>
      <c r="D4025" s="3" t="s">
        <v>33</v>
      </c>
      <c r="E4025" s="3" t="s">
        <v>5448</v>
      </c>
      <c r="F4025" s="4">
        <v>43894.5</v>
      </c>
      <c r="G4025" s="3" t="s">
        <v>1332</v>
      </c>
      <c r="H4025" s="3" t="s">
        <v>1119</v>
      </c>
      <c r="I4025" s="3" t="s">
        <v>7043</v>
      </c>
      <c r="J4025" s="3"/>
      <c r="K4025" s="3"/>
      <c r="L4025" s="5"/>
    </row>
    <row r="4026" spans="1:12" ht="28.8" x14ac:dyDescent="0.55000000000000004">
      <c r="A4026" s="9" t="str">
        <f>HYPERLINK("PDF\FOIA-FWS-2020-00724-0004025.pdf","FOIA-FWS-2020-00724-0004025")</f>
        <v>FOIA-FWS-2020-00724-0004025</v>
      </c>
      <c r="B4026" s="3" t="s">
        <v>6384</v>
      </c>
      <c r="C4026" s="3" t="s">
        <v>234</v>
      </c>
      <c r="D4026" s="3" t="s">
        <v>33</v>
      </c>
      <c r="E4026" s="3" t="s">
        <v>6385</v>
      </c>
      <c r="F4026" s="4">
        <v>43894.5</v>
      </c>
      <c r="G4026" s="3"/>
      <c r="H4026" s="3"/>
      <c r="I4026" s="3" t="s">
        <v>7043</v>
      </c>
      <c r="J4026" s="3"/>
      <c r="K4026" s="3"/>
      <c r="L4026" s="5"/>
    </row>
    <row r="4027" spans="1:12" ht="43.2" x14ac:dyDescent="0.55000000000000004">
      <c r="A4027" s="9" t="str">
        <f>HYPERLINK("PDF\FOIA-FWS-2020-00724-0004026.pdf","FOIA-FWS-2020-00724-0004026")</f>
        <v>FOIA-FWS-2020-00724-0004026</v>
      </c>
      <c r="B4027" s="3" t="s">
        <v>6386</v>
      </c>
      <c r="C4027" s="3" t="s">
        <v>3</v>
      </c>
      <c r="D4027" s="3" t="s">
        <v>33</v>
      </c>
      <c r="E4027" s="3" t="s">
        <v>6114</v>
      </c>
      <c r="F4027" s="4">
        <v>43894.540972222225</v>
      </c>
      <c r="G4027" s="3" t="s">
        <v>5800</v>
      </c>
      <c r="H4027" s="3" t="s">
        <v>6282</v>
      </c>
      <c r="I4027" s="3" t="s">
        <v>864</v>
      </c>
      <c r="J4027" s="3" t="s">
        <v>7046</v>
      </c>
      <c r="K4027" s="3" t="s">
        <v>7036</v>
      </c>
      <c r="L4027" s="5"/>
    </row>
    <row r="4028" spans="1:12" ht="129.6" x14ac:dyDescent="0.55000000000000004">
      <c r="A4028" s="9" t="str">
        <f>HYPERLINK("PDF\FOIA-FWS-2020-00724-0004027.pdf","FOIA-FWS-2020-00724-0004027")</f>
        <v>FOIA-FWS-2020-00724-0004027</v>
      </c>
      <c r="B4028" s="3" t="s">
        <v>6387</v>
      </c>
      <c r="C4028" s="3" t="s">
        <v>3</v>
      </c>
      <c r="D4028" s="3" t="s">
        <v>33</v>
      </c>
      <c r="E4028" s="3" t="s">
        <v>6390</v>
      </c>
      <c r="F4028" s="4">
        <v>43894.60833333333</v>
      </c>
      <c r="G4028" s="3" t="s">
        <v>6388</v>
      </c>
      <c r="H4028" s="3" t="s">
        <v>6389</v>
      </c>
      <c r="I4028" s="3" t="s">
        <v>7043</v>
      </c>
      <c r="J4028" s="3"/>
      <c r="K4028" s="3"/>
      <c r="L4028" s="5"/>
    </row>
    <row r="4029" spans="1:12" ht="28.8" x14ac:dyDescent="0.55000000000000004">
      <c r="A4029" s="9" t="str">
        <f>HYPERLINK("PDF\FOIA-FWS-2020-00724-0004028.pdf","FOIA-FWS-2020-00724-0004028")</f>
        <v>FOIA-FWS-2020-00724-0004028</v>
      </c>
      <c r="B4029" s="3" t="s">
        <v>6387</v>
      </c>
      <c r="C4029" s="3" t="s">
        <v>234</v>
      </c>
      <c r="D4029" s="3" t="s">
        <v>33</v>
      </c>
      <c r="E4029" s="3" t="s">
        <v>6391</v>
      </c>
      <c r="F4029" s="4">
        <v>43894.60833333333</v>
      </c>
      <c r="G4029" s="3"/>
      <c r="H4029" s="3"/>
      <c r="I4029" s="3" t="s">
        <v>7043</v>
      </c>
      <c r="J4029" s="3"/>
      <c r="K4029" s="3"/>
      <c r="L4029" s="5"/>
    </row>
    <row r="4030" spans="1:12" ht="28.8" x14ac:dyDescent="0.55000000000000004">
      <c r="A4030" s="9" t="str">
        <f>HYPERLINK("PDF\FOIA-FWS-2020-00724-0004029.pdf","FOIA-FWS-2020-00724-0004029")</f>
        <v>FOIA-FWS-2020-00724-0004029</v>
      </c>
      <c r="B4030" s="3" t="s">
        <v>6387</v>
      </c>
      <c r="C4030" s="3" t="s">
        <v>234</v>
      </c>
      <c r="D4030" s="3" t="s">
        <v>33</v>
      </c>
      <c r="E4030" s="3" t="s">
        <v>6392</v>
      </c>
      <c r="F4030" s="4">
        <v>43894.60833333333</v>
      </c>
      <c r="G4030" s="3"/>
      <c r="H4030" s="3"/>
      <c r="I4030" s="3" t="s">
        <v>7043</v>
      </c>
      <c r="J4030" s="3"/>
      <c r="K4030" s="3"/>
      <c r="L4030" s="5"/>
    </row>
    <row r="4031" spans="1:12" ht="28.8" x14ac:dyDescent="0.55000000000000004">
      <c r="A4031" s="9" t="str">
        <f>HYPERLINK("PDF\FOIA-FWS-2020-00724-0004030.pdf","FOIA-FWS-2020-00724-0004030")</f>
        <v>FOIA-FWS-2020-00724-0004030</v>
      </c>
      <c r="B4031" s="3" t="s">
        <v>6387</v>
      </c>
      <c r="C4031" s="3" t="s">
        <v>234</v>
      </c>
      <c r="D4031" s="3" t="s">
        <v>33</v>
      </c>
      <c r="E4031" s="3" t="s">
        <v>6393</v>
      </c>
      <c r="F4031" s="4">
        <v>43894.60833333333</v>
      </c>
      <c r="G4031" s="3"/>
      <c r="H4031" s="3"/>
      <c r="I4031" s="3" t="s">
        <v>7043</v>
      </c>
      <c r="J4031" s="3"/>
      <c r="K4031" s="3"/>
      <c r="L4031" s="5"/>
    </row>
    <row r="4032" spans="1:12" ht="28.8" x14ac:dyDescent="0.55000000000000004">
      <c r="A4032" s="9" t="str">
        <f>HYPERLINK("PDF\FOIA-FWS-2020-00724-0004031.pdf","FOIA-FWS-2020-00724-0004031")</f>
        <v>FOIA-FWS-2020-00724-0004031</v>
      </c>
      <c r="B4032" s="3" t="s">
        <v>6394</v>
      </c>
      <c r="C4032" s="3" t="s">
        <v>3</v>
      </c>
      <c r="D4032" s="3" t="s">
        <v>33</v>
      </c>
      <c r="E4032" s="3" t="s">
        <v>6395</v>
      </c>
      <c r="F4032" s="4">
        <v>43894.625</v>
      </c>
      <c r="G4032" s="3" t="s">
        <v>963</v>
      </c>
      <c r="H4032" s="3" t="s">
        <v>945</v>
      </c>
      <c r="I4032" s="3" t="s">
        <v>7043</v>
      </c>
      <c r="J4032" s="3"/>
      <c r="K4032" s="3"/>
      <c r="L4032" s="5"/>
    </row>
    <row r="4033" spans="1:12" ht="28.8" x14ac:dyDescent="0.55000000000000004">
      <c r="A4033" s="9" t="str">
        <f>HYPERLINK("PDF\FOIA-FWS-2020-00724-0004032.pdf","FOIA-FWS-2020-00724-0004032")</f>
        <v>FOIA-FWS-2020-00724-0004032</v>
      </c>
      <c r="B4033" s="3" t="s">
        <v>6396</v>
      </c>
      <c r="C4033" s="3" t="s">
        <v>3</v>
      </c>
      <c r="D4033" s="3" t="s">
        <v>33</v>
      </c>
      <c r="E4033" s="3" t="s">
        <v>6397</v>
      </c>
      <c r="F4033" s="4">
        <v>43894.631944444445</v>
      </c>
      <c r="G4033" s="3" t="s">
        <v>1392</v>
      </c>
      <c r="H4033" s="3" t="s">
        <v>5800</v>
      </c>
      <c r="I4033" s="3" t="s">
        <v>7043</v>
      </c>
      <c r="J4033" s="3"/>
      <c r="K4033" s="3"/>
      <c r="L4033" s="5"/>
    </row>
    <row r="4034" spans="1:12" ht="28.8" x14ac:dyDescent="0.55000000000000004">
      <c r="A4034" s="9" t="str">
        <f>HYPERLINK("PDF\FOIA-FWS-2020-00724-0004033.pdf","FOIA-FWS-2020-00724-0004033")</f>
        <v>FOIA-FWS-2020-00724-0004033</v>
      </c>
      <c r="B4034" s="3" t="s">
        <v>6396</v>
      </c>
      <c r="C4034" s="3" t="s">
        <v>234</v>
      </c>
      <c r="D4034" s="3" t="s">
        <v>33</v>
      </c>
      <c r="E4034" s="3" t="s">
        <v>6398</v>
      </c>
      <c r="F4034" s="4">
        <v>43894.631944444445</v>
      </c>
      <c r="G4034" s="3"/>
      <c r="H4034" s="3"/>
      <c r="I4034" s="3" t="s">
        <v>7043</v>
      </c>
      <c r="J4034" s="3"/>
      <c r="K4034" s="3"/>
      <c r="L4034" s="5"/>
    </row>
    <row r="4035" spans="1:12" ht="43.2" x14ac:dyDescent="0.55000000000000004">
      <c r="A4035" s="9" t="str">
        <f>HYPERLINK("PDF\FOIA-FWS-2020-00724-0004034.pdf","FOIA-FWS-2020-00724-0004034")</f>
        <v>FOIA-FWS-2020-00724-0004034</v>
      </c>
      <c r="B4035" s="3" t="s">
        <v>6399</v>
      </c>
      <c r="C4035" s="3" t="s">
        <v>3</v>
      </c>
      <c r="D4035" s="3" t="s">
        <v>33</v>
      </c>
      <c r="E4035" s="3" t="s">
        <v>6401</v>
      </c>
      <c r="F4035" s="4">
        <v>43894.634722222225</v>
      </c>
      <c r="G4035" s="3" t="s">
        <v>5800</v>
      </c>
      <c r="H4035" s="3" t="s">
        <v>6400</v>
      </c>
      <c r="I4035" s="3" t="s">
        <v>7043</v>
      </c>
      <c r="J4035" s="3"/>
      <c r="K4035" s="3"/>
      <c r="L4035" s="5"/>
    </row>
    <row r="4036" spans="1:12" ht="28.8" x14ac:dyDescent="0.55000000000000004">
      <c r="A4036" s="9" t="str">
        <f>HYPERLINK("PDF\FOIA-FWS-2020-00724-0004035.pdf","FOIA-FWS-2020-00724-0004035")</f>
        <v>FOIA-FWS-2020-00724-0004035</v>
      </c>
      <c r="B4036" s="3" t="s">
        <v>6399</v>
      </c>
      <c r="C4036" s="3" t="s">
        <v>234</v>
      </c>
      <c r="D4036" s="3" t="s">
        <v>33</v>
      </c>
      <c r="E4036" s="3" t="s">
        <v>6398</v>
      </c>
      <c r="F4036" s="4">
        <v>43894.634722222225</v>
      </c>
      <c r="G4036" s="3"/>
      <c r="H4036" s="3"/>
      <c r="I4036" s="3" t="s">
        <v>7043</v>
      </c>
      <c r="J4036" s="3"/>
      <c r="K4036" s="3"/>
      <c r="L4036" s="5"/>
    </row>
    <row r="4037" spans="1:12" ht="43.2" x14ac:dyDescent="0.55000000000000004">
      <c r="A4037" s="9" t="str">
        <f>HYPERLINK("PDF\FOIA-FWS-2020-00724-0004036.pdf","FOIA-FWS-2020-00724-0004036")</f>
        <v>FOIA-FWS-2020-00724-0004036</v>
      </c>
      <c r="B4037" s="3" t="s">
        <v>6402</v>
      </c>
      <c r="C4037" s="3" t="s">
        <v>3</v>
      </c>
      <c r="D4037" s="3" t="s">
        <v>33</v>
      </c>
      <c r="E4037" s="3" t="s">
        <v>6114</v>
      </c>
      <c r="F4037" s="4">
        <v>43894.65347222222</v>
      </c>
      <c r="G4037" s="3" t="s">
        <v>5800</v>
      </c>
      <c r="H4037" s="3" t="s">
        <v>6400</v>
      </c>
      <c r="I4037" s="3" t="s">
        <v>7043</v>
      </c>
      <c r="J4037" s="3"/>
      <c r="K4037" s="3"/>
      <c r="L4037" s="5"/>
    </row>
    <row r="4038" spans="1:12" ht="28.8" x14ac:dyDescent="0.55000000000000004">
      <c r="A4038" s="9" t="str">
        <f>HYPERLINK("PDF\FOIA-FWS-2020-00724-0004037.pdf","FOIA-FWS-2020-00724-0004037")</f>
        <v>FOIA-FWS-2020-00724-0004037</v>
      </c>
      <c r="B4038" s="3" t="s">
        <v>6403</v>
      </c>
      <c r="C4038" s="3" t="s">
        <v>3</v>
      </c>
      <c r="D4038" s="3" t="s">
        <v>33</v>
      </c>
      <c r="E4038" s="3" t="s">
        <v>6405</v>
      </c>
      <c r="F4038" s="4">
        <v>43894.768055555556</v>
      </c>
      <c r="G4038" s="3" t="s">
        <v>6388</v>
      </c>
      <c r="H4038" s="3" t="s">
        <v>6404</v>
      </c>
      <c r="I4038" s="3" t="s">
        <v>7043</v>
      </c>
      <c r="J4038" s="3"/>
      <c r="K4038" s="3"/>
      <c r="L4038" s="5"/>
    </row>
    <row r="4039" spans="1:12" ht="28.8" x14ac:dyDescent="0.55000000000000004">
      <c r="A4039" s="9" t="str">
        <f>HYPERLINK("PDF\FOIA-FWS-2020-00724-0004038.pdf","FOIA-FWS-2020-00724-0004038")</f>
        <v>FOIA-FWS-2020-00724-0004038</v>
      </c>
      <c r="B4039" s="3" t="s">
        <v>6403</v>
      </c>
      <c r="C4039" s="3" t="s">
        <v>234</v>
      </c>
      <c r="D4039" s="3" t="s">
        <v>33</v>
      </c>
      <c r="E4039" s="3" t="s">
        <v>6406</v>
      </c>
      <c r="F4039" s="4">
        <v>43894.768055555556</v>
      </c>
      <c r="G4039" s="3"/>
      <c r="H4039" s="3"/>
      <c r="I4039" s="3" t="s">
        <v>7043</v>
      </c>
      <c r="J4039" s="3"/>
      <c r="K4039" s="3"/>
      <c r="L4039" s="5"/>
    </row>
    <row r="4040" spans="1:12" ht="28.8" x14ac:dyDescent="0.55000000000000004">
      <c r="A4040" s="9" t="str">
        <f>HYPERLINK("PDF\FOIA-FWS-2020-00724-0004039.pdf","FOIA-FWS-2020-00724-0004039")</f>
        <v>FOIA-FWS-2020-00724-0004039</v>
      </c>
      <c r="B4040" s="3" t="s">
        <v>6407</v>
      </c>
      <c r="C4040" s="3" t="s">
        <v>3</v>
      </c>
      <c r="D4040" s="3" t="s">
        <v>33</v>
      </c>
      <c r="E4040" s="3" t="s">
        <v>6408</v>
      </c>
      <c r="F4040" s="4">
        <v>43894.771527777775</v>
      </c>
      <c r="G4040" s="3" t="s">
        <v>1719</v>
      </c>
      <c r="H4040" s="3" t="s">
        <v>6195</v>
      </c>
      <c r="I4040" s="3" t="s">
        <v>7043</v>
      </c>
      <c r="J4040" s="3"/>
      <c r="K4040" s="3"/>
      <c r="L4040" s="5"/>
    </row>
    <row r="4041" spans="1:12" ht="57.6" x14ac:dyDescent="0.55000000000000004">
      <c r="A4041" s="9" t="str">
        <f>HYPERLINK("PDF\FOIA-FWS-2020-00724-0004040.pdf","FOIA-FWS-2020-00724-0004040")</f>
        <v>FOIA-FWS-2020-00724-0004040</v>
      </c>
      <c r="B4041" s="3" t="s">
        <v>6409</v>
      </c>
      <c r="C4041" s="3" t="s">
        <v>3</v>
      </c>
      <c r="D4041" s="3" t="s">
        <v>33</v>
      </c>
      <c r="E4041" s="3" t="s">
        <v>6250</v>
      </c>
      <c r="F4041" s="4">
        <v>43894.773611111108</v>
      </c>
      <c r="G4041" s="3" t="s">
        <v>5800</v>
      </c>
      <c r="H4041" s="3" t="s">
        <v>6203</v>
      </c>
      <c r="I4041" s="3" t="s">
        <v>7043</v>
      </c>
      <c r="J4041" s="3"/>
      <c r="K4041" s="3"/>
      <c r="L4041" s="5"/>
    </row>
    <row r="4042" spans="1:12" ht="28.8" x14ac:dyDescent="0.55000000000000004">
      <c r="A4042" s="9" t="str">
        <f>HYPERLINK("PDF\FOIA-FWS-2020-00724-0004041.pdf","FOIA-FWS-2020-00724-0004041")</f>
        <v>FOIA-FWS-2020-00724-0004041</v>
      </c>
      <c r="B4042" s="3" t="s">
        <v>6409</v>
      </c>
      <c r="C4042" s="3" t="s">
        <v>234</v>
      </c>
      <c r="D4042" s="3" t="s">
        <v>33</v>
      </c>
      <c r="E4042" s="3" t="s">
        <v>6410</v>
      </c>
      <c r="F4042" s="4">
        <v>43894.773611111108</v>
      </c>
      <c r="G4042" s="3"/>
      <c r="H4042" s="3"/>
      <c r="I4042" s="3" t="s">
        <v>7043</v>
      </c>
      <c r="J4042" s="3"/>
      <c r="K4042" s="3"/>
      <c r="L4042" s="5"/>
    </row>
    <row r="4043" spans="1:12" ht="28.8" x14ac:dyDescent="0.55000000000000004">
      <c r="A4043" s="9" t="str">
        <f>HYPERLINK("PDF\FOIA-FWS-2020-00724-0004042.pdf","FOIA-FWS-2020-00724-0004042")</f>
        <v>FOIA-FWS-2020-00724-0004042</v>
      </c>
      <c r="B4043" s="3" t="s">
        <v>6411</v>
      </c>
      <c r="C4043" s="3" t="s">
        <v>3</v>
      </c>
      <c r="D4043" s="3" t="s">
        <v>33</v>
      </c>
      <c r="E4043" s="3" t="s">
        <v>6412</v>
      </c>
      <c r="F4043" s="4">
        <v>43895</v>
      </c>
      <c r="G4043" s="3"/>
      <c r="H4043" s="3"/>
      <c r="I4043" s="3" t="s">
        <v>7043</v>
      </c>
      <c r="J4043" s="3"/>
      <c r="K4043" s="3"/>
      <c r="L4043" s="5"/>
    </row>
    <row r="4044" spans="1:12" ht="28.8" x14ac:dyDescent="0.55000000000000004">
      <c r="A4044" s="9" t="str">
        <f>HYPERLINK("PDF\FOIA-FWS-2020-00724-0004043.pdf","FOIA-FWS-2020-00724-0004043")</f>
        <v>FOIA-FWS-2020-00724-0004043</v>
      </c>
      <c r="B4044" s="3" t="s">
        <v>6413</v>
      </c>
      <c r="C4044" s="3" t="s">
        <v>3</v>
      </c>
      <c r="D4044" s="3" t="s">
        <v>33</v>
      </c>
      <c r="E4044" s="3" t="s">
        <v>6414</v>
      </c>
      <c r="F4044" s="4">
        <v>43895</v>
      </c>
      <c r="G4044" s="3"/>
      <c r="H4044" s="3"/>
      <c r="I4044" s="3" t="s">
        <v>7043</v>
      </c>
      <c r="J4044" s="3"/>
      <c r="K4044" s="3"/>
      <c r="L4044" s="5"/>
    </row>
    <row r="4045" spans="1:12" ht="28.8" x14ac:dyDescent="0.55000000000000004">
      <c r="A4045" s="9" t="str">
        <f>HYPERLINK("PDF\FOIA-FWS-2020-00724-0004044.pdf","FOIA-FWS-2020-00724-0004044")</f>
        <v>FOIA-FWS-2020-00724-0004044</v>
      </c>
      <c r="B4045" s="3" t="s">
        <v>6415</v>
      </c>
      <c r="C4045" s="3" t="s">
        <v>3</v>
      </c>
      <c r="D4045" s="3" t="s">
        <v>33</v>
      </c>
      <c r="E4045" s="3" t="s">
        <v>6416</v>
      </c>
      <c r="F4045" s="4">
        <v>43895</v>
      </c>
      <c r="G4045" s="3"/>
      <c r="H4045" s="3"/>
      <c r="I4045" s="3" t="s">
        <v>7043</v>
      </c>
      <c r="J4045" s="3"/>
      <c r="K4045" s="3"/>
      <c r="L4045" s="5"/>
    </row>
    <row r="4046" spans="1:12" ht="28.8" x14ac:dyDescent="0.55000000000000004">
      <c r="A4046" s="9" t="str">
        <f>HYPERLINK("PDF\FOIA-FWS-2020-00724-0004045.pdf","FOIA-FWS-2020-00724-0004045")</f>
        <v>FOIA-FWS-2020-00724-0004045</v>
      </c>
      <c r="B4046" s="3" t="s">
        <v>6417</v>
      </c>
      <c r="C4046" s="3" t="s">
        <v>3</v>
      </c>
      <c r="D4046" s="3" t="s">
        <v>33</v>
      </c>
      <c r="E4046" s="3" t="s">
        <v>6418</v>
      </c>
      <c r="F4046" s="4">
        <v>43895.456944444442</v>
      </c>
      <c r="G4046" s="3" t="s">
        <v>872</v>
      </c>
      <c r="H4046" s="3" t="s">
        <v>5274</v>
      </c>
      <c r="I4046" s="3" t="s">
        <v>7043</v>
      </c>
      <c r="J4046" s="3"/>
      <c r="K4046" s="3"/>
      <c r="L4046" s="5"/>
    </row>
    <row r="4047" spans="1:12" ht="28.8" x14ac:dyDescent="0.55000000000000004">
      <c r="A4047" s="9" t="str">
        <f>HYPERLINK("PDF\FOIA-FWS-2020-00724-0004046.pdf","FOIA-FWS-2020-00724-0004046")</f>
        <v>FOIA-FWS-2020-00724-0004046</v>
      </c>
      <c r="B4047" s="3" t="s">
        <v>6419</v>
      </c>
      <c r="C4047" s="3" t="s">
        <v>3</v>
      </c>
      <c r="D4047" s="3" t="s">
        <v>33</v>
      </c>
      <c r="E4047" s="3" t="s">
        <v>6420</v>
      </c>
      <c r="F4047" s="4">
        <v>43895.459722222222</v>
      </c>
      <c r="G4047" s="3" t="s">
        <v>945</v>
      </c>
      <c r="H4047" s="3" t="s">
        <v>919</v>
      </c>
      <c r="I4047" s="3" t="s">
        <v>7043</v>
      </c>
      <c r="J4047" s="3"/>
      <c r="K4047" s="3"/>
      <c r="L4047" s="5"/>
    </row>
    <row r="4048" spans="1:12" ht="86.4" x14ac:dyDescent="0.55000000000000004">
      <c r="A4048" s="9" t="str">
        <f>HYPERLINK("PDF\FOIA-FWS-2020-00724-0004047.pdf","FOIA-FWS-2020-00724-0004047")</f>
        <v>FOIA-FWS-2020-00724-0004047</v>
      </c>
      <c r="B4048" s="3" t="s">
        <v>6421</v>
      </c>
      <c r="C4048" s="3" t="s">
        <v>3</v>
      </c>
      <c r="D4048" s="3" t="s">
        <v>33</v>
      </c>
      <c r="E4048" s="3" t="s">
        <v>6422</v>
      </c>
      <c r="F4048" s="4">
        <v>43895.525000000001</v>
      </c>
      <c r="G4048" s="3" t="s">
        <v>919</v>
      </c>
      <c r="H4048" s="3" t="s">
        <v>872</v>
      </c>
      <c r="I4048" s="3" t="s">
        <v>7043</v>
      </c>
      <c r="J4048" s="3"/>
      <c r="K4048" s="3"/>
      <c r="L4048" s="5"/>
    </row>
    <row r="4049" spans="1:12" ht="28.8" x14ac:dyDescent="0.55000000000000004">
      <c r="A4049" s="9" t="str">
        <f>HYPERLINK("PDF\FOIA-FWS-2020-00724-0004048.pdf","FOIA-FWS-2020-00724-0004048")</f>
        <v>FOIA-FWS-2020-00724-0004048</v>
      </c>
      <c r="B4049" s="3" t="s">
        <v>6423</v>
      </c>
      <c r="C4049" s="3" t="s">
        <v>3</v>
      </c>
      <c r="D4049" s="3" t="s">
        <v>33</v>
      </c>
      <c r="E4049" s="3" t="s">
        <v>6424</v>
      </c>
      <c r="F4049" s="4">
        <v>43895.667361111111</v>
      </c>
      <c r="G4049" s="3" t="s">
        <v>4935</v>
      </c>
      <c r="H4049" s="3" t="s">
        <v>872</v>
      </c>
      <c r="I4049" s="3" t="s">
        <v>7043</v>
      </c>
      <c r="J4049" s="3"/>
      <c r="K4049" s="3"/>
      <c r="L4049" s="5"/>
    </row>
    <row r="4050" spans="1:12" ht="28.8" x14ac:dyDescent="0.55000000000000004">
      <c r="A4050" s="9" t="str">
        <f>HYPERLINK("PDF\FOIA-FWS-2020-00724-0004049.pdf","FOIA-FWS-2020-00724-0004049")</f>
        <v>FOIA-FWS-2020-00724-0004049</v>
      </c>
      <c r="B4050" s="3" t="s">
        <v>6423</v>
      </c>
      <c r="C4050" s="3" t="s">
        <v>234</v>
      </c>
      <c r="D4050" s="3" t="s">
        <v>33</v>
      </c>
      <c r="E4050" s="3" t="s">
        <v>6425</v>
      </c>
      <c r="F4050" s="4">
        <v>43895.667361111111</v>
      </c>
      <c r="G4050" s="3"/>
      <c r="H4050" s="3"/>
      <c r="I4050" s="3" t="s">
        <v>7043</v>
      </c>
      <c r="J4050" s="3"/>
      <c r="K4050" s="3"/>
      <c r="L4050" s="5"/>
    </row>
    <row r="4051" spans="1:12" ht="43.2" x14ac:dyDescent="0.55000000000000004">
      <c r="A4051" s="9" t="str">
        <f>HYPERLINK("PDF\FOIA-FWS-2020-00724-0004050.pdf","FOIA-FWS-2020-00724-0004050")</f>
        <v>FOIA-FWS-2020-00724-0004050</v>
      </c>
      <c r="B4051" s="3" t="s">
        <v>6426</v>
      </c>
      <c r="C4051" s="3" t="s">
        <v>3</v>
      </c>
      <c r="D4051" s="3" t="s">
        <v>33</v>
      </c>
      <c r="E4051" s="3" t="s">
        <v>6428</v>
      </c>
      <c r="F4051" s="4">
        <v>43895.754861111112</v>
      </c>
      <c r="G4051" s="3" t="s">
        <v>945</v>
      </c>
      <c r="H4051" s="3" t="s">
        <v>6427</v>
      </c>
      <c r="I4051" s="3" t="s">
        <v>7043</v>
      </c>
      <c r="J4051" s="3"/>
      <c r="K4051" s="3"/>
      <c r="L4051" s="5"/>
    </row>
    <row r="4052" spans="1:12" ht="28.8" x14ac:dyDescent="0.55000000000000004">
      <c r="A4052" s="9" t="str">
        <f>HYPERLINK("PDF\FOIA-FWS-2020-00724-0004051.pdf","FOIA-FWS-2020-00724-0004051")</f>
        <v>FOIA-FWS-2020-00724-0004051</v>
      </c>
      <c r="B4052" s="3" t="s">
        <v>6426</v>
      </c>
      <c r="C4052" s="3" t="s">
        <v>234</v>
      </c>
      <c r="D4052" s="3" t="s">
        <v>33</v>
      </c>
      <c r="E4052" s="3" t="s">
        <v>6429</v>
      </c>
      <c r="F4052" s="4">
        <v>43895.754861111112</v>
      </c>
      <c r="G4052" s="3"/>
      <c r="H4052" s="3"/>
      <c r="I4052" s="3" t="s">
        <v>7043</v>
      </c>
      <c r="J4052" s="3"/>
      <c r="K4052" s="3"/>
      <c r="L4052" s="5"/>
    </row>
    <row r="4053" spans="1:12" ht="28.8" x14ac:dyDescent="0.55000000000000004">
      <c r="A4053" s="9" t="str">
        <f>HYPERLINK("PDF\FOIA-FWS-2020-00724-0004052.pdf","FOIA-FWS-2020-00724-0004052")</f>
        <v>FOIA-FWS-2020-00724-0004052</v>
      </c>
      <c r="B4053" s="3" t="s">
        <v>6430</v>
      </c>
      <c r="C4053" s="3" t="s">
        <v>3</v>
      </c>
      <c r="D4053" s="3" t="s">
        <v>33</v>
      </c>
      <c r="E4053" s="3" t="s">
        <v>6432</v>
      </c>
      <c r="F4053" s="4">
        <v>43896.012499999997</v>
      </c>
      <c r="G4053" s="3" t="s">
        <v>861</v>
      </c>
      <c r="H4053" s="3" t="s">
        <v>6431</v>
      </c>
      <c r="I4053" s="3" t="s">
        <v>7043</v>
      </c>
      <c r="J4053" s="3"/>
      <c r="K4053" s="3"/>
      <c r="L4053" s="5"/>
    </row>
    <row r="4054" spans="1:12" ht="28.8" x14ac:dyDescent="0.55000000000000004">
      <c r="A4054" s="9" t="str">
        <f>HYPERLINK("PDF\FOIA-FWS-2020-00724-0004053.pdf","FOIA-FWS-2020-00724-0004053")</f>
        <v>FOIA-FWS-2020-00724-0004053</v>
      </c>
      <c r="B4054" s="3" t="s">
        <v>6433</v>
      </c>
      <c r="C4054" s="3" t="s">
        <v>3</v>
      </c>
      <c r="D4054" s="3" t="s">
        <v>33</v>
      </c>
      <c r="E4054" s="3" t="s">
        <v>6434</v>
      </c>
      <c r="F4054" s="4">
        <v>43896.417361111111</v>
      </c>
      <c r="G4054" s="3" t="s">
        <v>919</v>
      </c>
      <c r="H4054" s="3" t="s">
        <v>945</v>
      </c>
      <c r="I4054" s="3" t="s">
        <v>7043</v>
      </c>
      <c r="J4054" s="3"/>
      <c r="K4054" s="3"/>
      <c r="L4054" s="5"/>
    </row>
    <row r="4055" spans="1:12" ht="28.8" x14ac:dyDescent="0.55000000000000004">
      <c r="A4055" s="9" t="str">
        <f>HYPERLINK("PDF\FOIA-FWS-2020-00724-0004054.pdf","FOIA-FWS-2020-00724-0004054")</f>
        <v>FOIA-FWS-2020-00724-0004054</v>
      </c>
      <c r="B4055" s="3" t="s">
        <v>6433</v>
      </c>
      <c r="C4055" s="3" t="s">
        <v>234</v>
      </c>
      <c r="D4055" s="3" t="s">
        <v>33</v>
      </c>
      <c r="E4055" s="3" t="s">
        <v>6435</v>
      </c>
      <c r="F4055" s="4">
        <v>43896.417361111111</v>
      </c>
      <c r="G4055" s="3"/>
      <c r="H4055" s="3"/>
      <c r="I4055" s="3" t="s">
        <v>7043</v>
      </c>
      <c r="J4055" s="3"/>
      <c r="K4055" s="3"/>
      <c r="L4055" s="5"/>
    </row>
    <row r="4056" spans="1:12" ht="28.8" x14ac:dyDescent="0.55000000000000004">
      <c r="A4056" s="9" t="str">
        <f>HYPERLINK("PDF\FOIA-FWS-2020-00724-0004055.pdf","FOIA-FWS-2020-00724-0004055")</f>
        <v>FOIA-FWS-2020-00724-0004055</v>
      </c>
      <c r="B4056" s="3" t="s">
        <v>6436</v>
      </c>
      <c r="C4056" s="3" t="s">
        <v>3</v>
      </c>
      <c r="D4056" s="3" t="s">
        <v>33</v>
      </c>
      <c r="E4056" s="3" t="s">
        <v>6437</v>
      </c>
      <c r="F4056" s="4">
        <v>43896.460416666669</v>
      </c>
      <c r="G4056" s="3" t="s">
        <v>945</v>
      </c>
      <c r="H4056" s="3" t="s">
        <v>3061</v>
      </c>
      <c r="I4056" s="3" t="s">
        <v>7043</v>
      </c>
      <c r="J4056" s="3"/>
      <c r="K4056" s="3"/>
      <c r="L4056" s="5"/>
    </row>
    <row r="4057" spans="1:12" ht="28.8" x14ac:dyDescent="0.55000000000000004">
      <c r="A4057" s="9" t="str">
        <f>HYPERLINK("PDF\FOIA-FWS-2020-00724-0004056.pdf","FOIA-FWS-2020-00724-0004056")</f>
        <v>FOIA-FWS-2020-00724-0004056</v>
      </c>
      <c r="B4057" s="3" t="s">
        <v>6436</v>
      </c>
      <c r="C4057" s="3" t="s">
        <v>234</v>
      </c>
      <c r="D4057" s="3" t="s">
        <v>33</v>
      </c>
      <c r="E4057" s="3" t="s">
        <v>6435</v>
      </c>
      <c r="F4057" s="4">
        <v>43896.460416666669</v>
      </c>
      <c r="G4057" s="3"/>
      <c r="H4057" s="3"/>
      <c r="I4057" s="3" t="s">
        <v>7043</v>
      </c>
      <c r="J4057" s="3"/>
      <c r="K4057" s="3"/>
      <c r="L4057" s="5"/>
    </row>
    <row r="4058" spans="1:12" ht="28.8" x14ac:dyDescent="0.55000000000000004">
      <c r="A4058" s="9" t="str">
        <f>HYPERLINK("PDF\FOIA-FWS-2020-00724-0004057.pdf","FOIA-FWS-2020-00724-0004057")</f>
        <v>FOIA-FWS-2020-00724-0004057</v>
      </c>
      <c r="B4058" s="3" t="s">
        <v>6436</v>
      </c>
      <c r="C4058" s="3" t="s">
        <v>234</v>
      </c>
      <c r="D4058" s="3" t="s">
        <v>33</v>
      </c>
      <c r="E4058" s="3" t="s">
        <v>6438</v>
      </c>
      <c r="F4058" s="4">
        <v>43896.460416666669</v>
      </c>
      <c r="G4058" s="3"/>
      <c r="H4058" s="3"/>
      <c r="I4058" s="3" t="s">
        <v>7043</v>
      </c>
      <c r="J4058" s="3"/>
      <c r="K4058" s="3"/>
      <c r="L4058" s="5"/>
    </row>
    <row r="4059" spans="1:12" ht="28.8" x14ac:dyDescent="0.55000000000000004">
      <c r="A4059" s="9" t="str">
        <f>HYPERLINK("PDF\FOIA-FWS-2020-00724-0004058.pdf","FOIA-FWS-2020-00724-0004058")</f>
        <v>FOIA-FWS-2020-00724-0004058</v>
      </c>
      <c r="B4059" s="3" t="s">
        <v>6439</v>
      </c>
      <c r="C4059" s="3" t="s">
        <v>3</v>
      </c>
      <c r="D4059" s="3" t="s">
        <v>33</v>
      </c>
      <c r="E4059" s="3" t="s">
        <v>6434</v>
      </c>
      <c r="F4059" s="4">
        <v>43896.465277777781</v>
      </c>
      <c r="G4059" s="3" t="s">
        <v>945</v>
      </c>
      <c r="H4059" s="3" t="s">
        <v>1963</v>
      </c>
      <c r="I4059" s="3" t="s">
        <v>7043</v>
      </c>
      <c r="J4059" s="3"/>
      <c r="K4059" s="3"/>
      <c r="L4059" s="5"/>
    </row>
    <row r="4060" spans="1:12" ht="28.8" x14ac:dyDescent="0.55000000000000004">
      <c r="A4060" s="9" t="str">
        <f>HYPERLINK("PDF\FOIA-FWS-2020-00724-0004059.pdf","FOIA-FWS-2020-00724-0004059")</f>
        <v>FOIA-FWS-2020-00724-0004059</v>
      </c>
      <c r="B4060" s="3" t="s">
        <v>6440</v>
      </c>
      <c r="C4060" s="3" t="s">
        <v>3</v>
      </c>
      <c r="D4060" s="3" t="s">
        <v>33</v>
      </c>
      <c r="E4060" s="3" t="s">
        <v>6441</v>
      </c>
      <c r="F4060" s="4">
        <v>43896.609722222223</v>
      </c>
      <c r="G4060" s="3" t="s">
        <v>5800</v>
      </c>
      <c r="H4060" s="3" t="s">
        <v>1628</v>
      </c>
      <c r="I4060" s="3" t="s">
        <v>7043</v>
      </c>
      <c r="J4060" s="3"/>
      <c r="K4060" s="3"/>
      <c r="L4060" s="5"/>
    </row>
    <row r="4061" spans="1:12" ht="28.8" x14ac:dyDescent="0.55000000000000004">
      <c r="A4061" s="9" t="str">
        <f>HYPERLINK("PDF\FOIA-FWS-2020-00724-0004060.pdf","FOIA-FWS-2020-00724-0004060")</f>
        <v>FOIA-FWS-2020-00724-0004060</v>
      </c>
      <c r="B4061" s="3" t="s">
        <v>6442</v>
      </c>
      <c r="C4061" s="3" t="s">
        <v>3</v>
      </c>
      <c r="D4061" s="3" t="s">
        <v>33</v>
      </c>
      <c r="E4061" s="3" t="s">
        <v>6443</v>
      </c>
      <c r="F4061" s="4">
        <v>43896.625694444447</v>
      </c>
      <c r="G4061" s="3" t="s">
        <v>5800</v>
      </c>
      <c r="H4061" s="3" t="s">
        <v>1392</v>
      </c>
      <c r="I4061" s="3" t="s">
        <v>7043</v>
      </c>
      <c r="J4061" s="3"/>
      <c r="K4061" s="3"/>
      <c r="L4061" s="5"/>
    </row>
    <row r="4062" spans="1:12" ht="28.8" x14ac:dyDescent="0.55000000000000004">
      <c r="A4062" s="9" t="str">
        <f>HYPERLINK("PDF\FOIA-FWS-2020-00724-0004061.pdf","FOIA-FWS-2020-00724-0004061")</f>
        <v>FOIA-FWS-2020-00724-0004061</v>
      </c>
      <c r="B4062" s="3" t="s">
        <v>6442</v>
      </c>
      <c r="C4062" s="3" t="s">
        <v>234</v>
      </c>
      <c r="D4062" s="3" t="s">
        <v>33</v>
      </c>
      <c r="E4062" s="3" t="s">
        <v>6444</v>
      </c>
      <c r="F4062" s="4">
        <v>43896.625694444447</v>
      </c>
      <c r="G4062" s="3"/>
      <c r="H4062" s="3"/>
      <c r="I4062" s="3" t="s">
        <v>7043</v>
      </c>
      <c r="J4062" s="3"/>
      <c r="K4062" s="3"/>
      <c r="L4062" s="5"/>
    </row>
    <row r="4063" spans="1:12" ht="28.8" x14ac:dyDescent="0.55000000000000004">
      <c r="A4063" s="9" t="str">
        <f>HYPERLINK("PDF\FOIA-FWS-2020-00724-0004062.pdf","FOIA-FWS-2020-00724-0004062")</f>
        <v>FOIA-FWS-2020-00724-0004062</v>
      </c>
      <c r="B4063" s="3" t="s">
        <v>6445</v>
      </c>
      <c r="C4063" s="3" t="s">
        <v>3</v>
      </c>
      <c r="D4063" s="3" t="s">
        <v>33</v>
      </c>
      <c r="E4063" s="3" t="s">
        <v>6434</v>
      </c>
      <c r="F4063" s="4">
        <v>43896.654166666667</v>
      </c>
      <c r="G4063" s="3" t="s">
        <v>945</v>
      </c>
      <c r="H4063" s="3" t="s">
        <v>3061</v>
      </c>
      <c r="I4063" s="3" t="s">
        <v>7043</v>
      </c>
      <c r="J4063" s="3"/>
      <c r="K4063" s="3"/>
      <c r="L4063" s="5"/>
    </row>
    <row r="4064" spans="1:12" ht="28.8" x14ac:dyDescent="0.55000000000000004">
      <c r="A4064" s="9" t="str">
        <f>HYPERLINK("PDF\FOIA-FWS-2020-00724-0004063.pdf","FOIA-FWS-2020-00724-0004063")</f>
        <v>FOIA-FWS-2020-00724-0004063</v>
      </c>
      <c r="B4064" s="3" t="s">
        <v>6446</v>
      </c>
      <c r="C4064" s="3" t="s">
        <v>3</v>
      </c>
      <c r="D4064" s="3" t="s">
        <v>33</v>
      </c>
      <c r="E4064" s="3" t="s">
        <v>6447</v>
      </c>
      <c r="F4064" s="4">
        <v>43896.677083333336</v>
      </c>
      <c r="G4064" s="3" t="s">
        <v>1392</v>
      </c>
      <c r="H4064" s="3" t="s">
        <v>5800</v>
      </c>
      <c r="I4064" s="3" t="s">
        <v>7043</v>
      </c>
      <c r="J4064" s="3"/>
      <c r="K4064" s="3"/>
      <c r="L4064" s="5"/>
    </row>
    <row r="4065" spans="1:12" ht="28.8" x14ac:dyDescent="0.55000000000000004">
      <c r="A4065" s="9" t="str">
        <f>HYPERLINK("PDF\FOIA-FWS-2020-00724-0004064.pdf","FOIA-FWS-2020-00724-0004064")</f>
        <v>FOIA-FWS-2020-00724-0004064</v>
      </c>
      <c r="B4065" s="3" t="s">
        <v>6446</v>
      </c>
      <c r="C4065" s="3" t="s">
        <v>234</v>
      </c>
      <c r="D4065" s="3" t="s">
        <v>33</v>
      </c>
      <c r="E4065" s="3" t="s">
        <v>6448</v>
      </c>
      <c r="F4065" s="4">
        <v>43896.677083333336</v>
      </c>
      <c r="G4065" s="3"/>
      <c r="H4065" s="3"/>
      <c r="I4065" s="3" t="s">
        <v>7043</v>
      </c>
      <c r="J4065" s="3"/>
      <c r="K4065" s="3"/>
      <c r="L4065" s="5"/>
    </row>
    <row r="4066" spans="1:12" ht="43.2" x14ac:dyDescent="0.55000000000000004">
      <c r="A4066" s="9" t="str">
        <f>HYPERLINK("PDF\FOIA-FWS-2020-00724-0004065.pdf","FOIA-FWS-2020-00724-0004065")</f>
        <v>FOIA-FWS-2020-00724-0004065</v>
      </c>
      <c r="B4066" s="3" t="s">
        <v>6449</v>
      </c>
      <c r="C4066" s="3" t="s">
        <v>3</v>
      </c>
      <c r="D4066" s="3" t="s">
        <v>33</v>
      </c>
      <c r="E4066" s="3" t="s">
        <v>6450</v>
      </c>
      <c r="F4066" s="4">
        <v>43896.713194444441</v>
      </c>
      <c r="G4066" s="3" t="s">
        <v>4043</v>
      </c>
      <c r="H4066" s="3" t="s">
        <v>6285</v>
      </c>
      <c r="I4066" s="3" t="s">
        <v>7044</v>
      </c>
      <c r="J4066" s="3" t="s">
        <v>7046</v>
      </c>
      <c r="K4066" s="3" t="s">
        <v>7036</v>
      </c>
      <c r="L4066" s="5"/>
    </row>
    <row r="4067" spans="1:12" ht="28.8" x14ac:dyDescent="0.55000000000000004">
      <c r="A4067" s="9" t="str">
        <f>HYPERLINK("PDF\FOIA-FWS-2020-00724-0004066.pdf","FOIA-FWS-2020-00724-0004066")</f>
        <v>FOIA-FWS-2020-00724-0004066</v>
      </c>
      <c r="B4067" s="3" t="s">
        <v>6451</v>
      </c>
      <c r="C4067" s="3" t="s">
        <v>3</v>
      </c>
      <c r="D4067" s="3" t="s">
        <v>33</v>
      </c>
      <c r="E4067" s="3" t="s">
        <v>6452</v>
      </c>
      <c r="F4067" s="4">
        <v>43896.715277777781</v>
      </c>
      <c r="G4067" s="3" t="s">
        <v>1392</v>
      </c>
      <c r="H4067" s="3" t="s">
        <v>872</v>
      </c>
      <c r="I4067" s="3" t="s">
        <v>7043</v>
      </c>
      <c r="J4067" s="3"/>
      <c r="K4067" s="3"/>
      <c r="L4067" s="5"/>
    </row>
    <row r="4068" spans="1:12" ht="28.8" x14ac:dyDescent="0.55000000000000004">
      <c r="A4068" s="9" t="str">
        <f>HYPERLINK("PDF\FOIA-FWS-2020-00724-0004067.pdf","FOIA-FWS-2020-00724-0004067")</f>
        <v>FOIA-FWS-2020-00724-0004067</v>
      </c>
      <c r="B4068" s="3" t="s">
        <v>6453</v>
      </c>
      <c r="C4068" s="3" t="s">
        <v>3</v>
      </c>
      <c r="D4068" s="3" t="s">
        <v>33</v>
      </c>
      <c r="E4068" s="3" t="s">
        <v>6454</v>
      </c>
      <c r="F4068" s="4">
        <v>43896.78402777778</v>
      </c>
      <c r="G4068" s="3" t="s">
        <v>945</v>
      </c>
      <c r="H4068" s="3" t="s">
        <v>5800</v>
      </c>
      <c r="I4068" s="3" t="s">
        <v>7043</v>
      </c>
      <c r="J4068" s="3"/>
      <c r="K4068" s="3"/>
      <c r="L4068" s="5"/>
    </row>
    <row r="4069" spans="1:12" ht="28.8" x14ac:dyDescent="0.55000000000000004">
      <c r="A4069" s="9" t="str">
        <f>HYPERLINK("PDF\FOIA-FWS-2020-00724-0004068.pdf","FOIA-FWS-2020-00724-0004068")</f>
        <v>FOIA-FWS-2020-00724-0004068</v>
      </c>
      <c r="B4069" s="3" t="s">
        <v>6453</v>
      </c>
      <c r="C4069" s="3" t="s">
        <v>234</v>
      </c>
      <c r="D4069" s="3" t="s">
        <v>33</v>
      </c>
      <c r="E4069" s="3" t="s">
        <v>6455</v>
      </c>
      <c r="F4069" s="4">
        <v>43896.78402777778</v>
      </c>
      <c r="G4069" s="3"/>
      <c r="H4069" s="3"/>
      <c r="I4069" s="3" t="s">
        <v>7043</v>
      </c>
      <c r="J4069" s="3"/>
      <c r="K4069" s="3"/>
      <c r="L4069" s="5"/>
    </row>
    <row r="4070" spans="1:12" ht="28.8" x14ac:dyDescent="0.55000000000000004">
      <c r="A4070" s="9" t="str">
        <f>HYPERLINK("PDF\FOIA-FWS-2020-00724-0004069.pdf","FOIA-FWS-2020-00724-0004069")</f>
        <v>FOIA-FWS-2020-00724-0004069</v>
      </c>
      <c r="B4070" s="3" t="s">
        <v>6456</v>
      </c>
      <c r="C4070" s="3" t="s">
        <v>3</v>
      </c>
      <c r="D4070" s="3" t="s">
        <v>33</v>
      </c>
      <c r="E4070" s="3" t="s">
        <v>6250</v>
      </c>
      <c r="F4070" s="4">
        <v>43896.789583333331</v>
      </c>
      <c r="G4070" s="3" t="s">
        <v>5800</v>
      </c>
      <c r="H4070" s="3" t="s">
        <v>6457</v>
      </c>
      <c r="I4070" s="3" t="s">
        <v>7043</v>
      </c>
      <c r="J4070" s="3"/>
      <c r="K4070" s="3"/>
      <c r="L4070" s="5"/>
    </row>
    <row r="4071" spans="1:12" ht="28.8" x14ac:dyDescent="0.55000000000000004">
      <c r="A4071" s="9" t="str">
        <f>HYPERLINK("PDF\FOIA-FWS-2020-00724-0004070.pdf","FOIA-FWS-2020-00724-0004070")</f>
        <v>FOIA-FWS-2020-00724-0004070</v>
      </c>
      <c r="B4071" s="3" t="s">
        <v>6456</v>
      </c>
      <c r="C4071" s="3" t="s">
        <v>234</v>
      </c>
      <c r="D4071" s="3" t="s">
        <v>33</v>
      </c>
      <c r="E4071" s="3" t="s">
        <v>6458</v>
      </c>
      <c r="F4071" s="4">
        <v>43896.789583333331</v>
      </c>
      <c r="G4071" s="3"/>
      <c r="H4071" s="3"/>
      <c r="I4071" s="3" t="s">
        <v>7043</v>
      </c>
      <c r="J4071" s="3"/>
      <c r="K4071" s="3"/>
      <c r="L4071" s="5"/>
    </row>
    <row r="4072" spans="1:12" ht="28.8" x14ac:dyDescent="0.55000000000000004">
      <c r="A4072" s="9" t="str">
        <f>HYPERLINK("PDF\FOIA-FWS-2020-00724-0004071.pdf","FOIA-FWS-2020-00724-0004071")</f>
        <v>FOIA-FWS-2020-00724-0004071</v>
      </c>
      <c r="B4072" s="3" t="s">
        <v>6459</v>
      </c>
      <c r="C4072" s="3" t="s">
        <v>3</v>
      </c>
      <c r="D4072" s="3" t="s">
        <v>33</v>
      </c>
      <c r="E4072" s="3" t="s">
        <v>6460</v>
      </c>
      <c r="F4072" s="4">
        <v>43896.834027777775</v>
      </c>
      <c r="G4072" s="3" t="s">
        <v>1392</v>
      </c>
      <c r="H4072" s="3" t="s">
        <v>2022</v>
      </c>
      <c r="I4072" s="3" t="s">
        <v>7043</v>
      </c>
      <c r="J4072" s="3"/>
      <c r="K4072" s="3"/>
      <c r="L4072" s="5"/>
    </row>
    <row r="4073" spans="1:12" ht="28.8" x14ac:dyDescent="0.55000000000000004">
      <c r="A4073" s="9" t="str">
        <f>HYPERLINK("PDF\FOIA-FWS-2020-00724-0004072.pdf","FOIA-FWS-2020-00724-0004072")</f>
        <v>FOIA-FWS-2020-00724-0004072</v>
      </c>
      <c r="B4073" s="3" t="s">
        <v>6459</v>
      </c>
      <c r="C4073" s="3" t="s">
        <v>234</v>
      </c>
      <c r="D4073" s="3" t="s">
        <v>33</v>
      </c>
      <c r="E4073" s="3" t="s">
        <v>6461</v>
      </c>
      <c r="F4073" s="4">
        <v>43896.834027777775</v>
      </c>
      <c r="G4073" s="3"/>
      <c r="H4073" s="3"/>
      <c r="I4073" s="3" t="s">
        <v>7043</v>
      </c>
      <c r="J4073" s="3"/>
      <c r="K4073" s="3"/>
      <c r="L4073" s="5"/>
    </row>
    <row r="4074" spans="1:12" ht="28.8" x14ac:dyDescent="0.55000000000000004">
      <c r="A4074" s="9" t="str">
        <f>HYPERLINK("PDF\FOIA-FWS-2020-00724-0004073.pdf","FOIA-FWS-2020-00724-0004073")</f>
        <v>FOIA-FWS-2020-00724-0004073</v>
      </c>
      <c r="B4074" s="3" t="s">
        <v>6462</v>
      </c>
      <c r="C4074" s="3" t="s">
        <v>3</v>
      </c>
      <c r="D4074" s="3" t="s">
        <v>33</v>
      </c>
      <c r="E4074" s="3" t="s">
        <v>6250</v>
      </c>
      <c r="F4074" s="4">
        <v>43896.834722222222</v>
      </c>
      <c r="G4074" s="3" t="s">
        <v>4043</v>
      </c>
      <c r="H4074" s="3" t="s">
        <v>5800</v>
      </c>
      <c r="I4074" s="3" t="s">
        <v>7043</v>
      </c>
      <c r="J4074" s="3"/>
      <c r="K4074" s="3"/>
      <c r="L4074" s="5"/>
    </row>
    <row r="4075" spans="1:12" ht="28.8" x14ac:dyDescent="0.55000000000000004">
      <c r="A4075" s="9" t="str">
        <f>HYPERLINK("PDF\FOIA-FWS-2020-00724-0004074.pdf","FOIA-FWS-2020-00724-0004074")</f>
        <v>FOIA-FWS-2020-00724-0004074</v>
      </c>
      <c r="B4075" s="3" t="s">
        <v>6463</v>
      </c>
      <c r="C4075" s="3" t="s">
        <v>3</v>
      </c>
      <c r="D4075" s="3" t="s">
        <v>33</v>
      </c>
      <c r="E4075" s="3" t="s">
        <v>6250</v>
      </c>
      <c r="F4075" s="4">
        <v>43898.447222222225</v>
      </c>
      <c r="G4075" s="3" t="s">
        <v>4043</v>
      </c>
      <c r="H4075" s="3" t="s">
        <v>6464</v>
      </c>
      <c r="I4075" s="3" t="s">
        <v>7043</v>
      </c>
      <c r="J4075" s="3"/>
      <c r="K4075" s="3"/>
      <c r="L4075" s="5"/>
    </row>
    <row r="4076" spans="1:12" ht="28.8" x14ac:dyDescent="0.55000000000000004">
      <c r="A4076" s="9" t="str">
        <f>HYPERLINK("PDF\FOIA-FWS-2020-00724-0004075.pdf","FOIA-FWS-2020-00724-0004075")</f>
        <v>FOIA-FWS-2020-00724-0004075</v>
      </c>
      <c r="B4076" s="3" t="s">
        <v>6463</v>
      </c>
      <c r="C4076" s="3" t="s">
        <v>234</v>
      </c>
      <c r="D4076" s="3" t="s">
        <v>33</v>
      </c>
      <c r="E4076" s="3" t="s">
        <v>6465</v>
      </c>
      <c r="F4076" s="4">
        <v>43898.447222222225</v>
      </c>
      <c r="G4076" s="3"/>
      <c r="H4076" s="3"/>
      <c r="I4076" s="3" t="s">
        <v>7043</v>
      </c>
      <c r="J4076" s="3"/>
      <c r="K4076" s="3"/>
      <c r="L4076" s="5"/>
    </row>
    <row r="4077" spans="1:12" ht="28.8" x14ac:dyDescent="0.55000000000000004">
      <c r="A4077" s="9" t="str">
        <f>HYPERLINK("PDF\FOIA-FWS-2020-00724-0004076.pdf","FOIA-FWS-2020-00724-0004076")</f>
        <v>FOIA-FWS-2020-00724-0004076</v>
      </c>
      <c r="B4077" s="3" t="s">
        <v>6466</v>
      </c>
      <c r="C4077" s="3" t="s">
        <v>3</v>
      </c>
      <c r="D4077" s="3" t="s">
        <v>33</v>
      </c>
      <c r="E4077" s="3" t="s">
        <v>6469</v>
      </c>
      <c r="F4077" s="4">
        <v>43899</v>
      </c>
      <c r="G4077" s="3" t="s">
        <v>6467</v>
      </c>
      <c r="H4077" s="3" t="s">
        <v>6468</v>
      </c>
      <c r="I4077" s="3" t="s">
        <v>7043</v>
      </c>
      <c r="J4077" s="3"/>
      <c r="K4077" s="3"/>
      <c r="L4077" s="5"/>
    </row>
    <row r="4078" spans="1:12" ht="28.8" x14ac:dyDescent="0.55000000000000004">
      <c r="A4078" s="9" t="str">
        <f>HYPERLINK("PDF\FOIA-FWS-2020-00724-0004077.pdf","FOIA-FWS-2020-00724-0004077")</f>
        <v>FOIA-FWS-2020-00724-0004077</v>
      </c>
      <c r="B4078" s="3" t="s">
        <v>6470</v>
      </c>
      <c r="C4078" s="3" t="s">
        <v>3</v>
      </c>
      <c r="D4078" s="3" t="s">
        <v>33</v>
      </c>
      <c r="E4078" s="3" t="s">
        <v>6471</v>
      </c>
      <c r="F4078" s="4">
        <v>43899</v>
      </c>
      <c r="G4078" s="3"/>
      <c r="H4078" s="3"/>
      <c r="I4078" s="3" t="s">
        <v>7043</v>
      </c>
      <c r="J4078" s="3"/>
      <c r="K4078" s="3"/>
      <c r="L4078" s="5"/>
    </row>
    <row r="4079" spans="1:12" ht="28.8" x14ac:dyDescent="0.55000000000000004">
      <c r="A4079" s="9" t="str">
        <f>HYPERLINK("PDF\FOIA-FWS-2020-00724-0004078.pdf","FOIA-FWS-2020-00724-0004078")</f>
        <v>FOIA-FWS-2020-00724-0004078</v>
      </c>
      <c r="B4079" s="3" t="s">
        <v>6472</v>
      </c>
      <c r="C4079" s="3" t="s">
        <v>3</v>
      </c>
      <c r="D4079" s="3" t="s">
        <v>33</v>
      </c>
      <c r="E4079" s="3" t="s">
        <v>6473</v>
      </c>
      <c r="F4079" s="4">
        <v>43899</v>
      </c>
      <c r="G4079" s="3"/>
      <c r="H4079" s="3"/>
      <c r="I4079" s="3" t="s">
        <v>7043</v>
      </c>
      <c r="J4079" s="3"/>
      <c r="K4079" s="3"/>
      <c r="L4079" s="5"/>
    </row>
    <row r="4080" spans="1:12" ht="28.8" x14ac:dyDescent="0.55000000000000004">
      <c r="A4080" s="9" t="str">
        <f>HYPERLINK("PDF\FOIA-FWS-2020-00724-0004079.pdf","FOIA-FWS-2020-00724-0004079")</f>
        <v>FOIA-FWS-2020-00724-0004079</v>
      </c>
      <c r="B4080" s="3" t="s">
        <v>6474</v>
      </c>
      <c r="C4080" s="3" t="s">
        <v>3</v>
      </c>
      <c r="D4080" s="3" t="s">
        <v>33</v>
      </c>
      <c r="E4080" s="3" t="s">
        <v>6250</v>
      </c>
      <c r="F4080" s="4">
        <v>43899.013888888891</v>
      </c>
      <c r="G4080" s="3" t="s">
        <v>6285</v>
      </c>
      <c r="H4080" s="3" t="s">
        <v>6475</v>
      </c>
      <c r="I4080" s="3" t="s">
        <v>7043</v>
      </c>
      <c r="J4080" s="3"/>
      <c r="K4080" s="3"/>
      <c r="L4080" s="5"/>
    </row>
    <row r="4081" spans="1:12" ht="28.8" x14ac:dyDescent="0.55000000000000004">
      <c r="A4081" s="9" t="str">
        <f>HYPERLINK("PDF\FOIA-FWS-2020-00724-0004080.pdf","FOIA-FWS-2020-00724-0004080")</f>
        <v>FOIA-FWS-2020-00724-0004080</v>
      </c>
      <c r="B4081" s="3" t="s">
        <v>6474</v>
      </c>
      <c r="C4081" s="3" t="s">
        <v>234</v>
      </c>
      <c r="D4081" s="3" t="s">
        <v>33</v>
      </c>
      <c r="E4081" s="3" t="s">
        <v>6476</v>
      </c>
      <c r="F4081" s="4">
        <v>43899.013888888891</v>
      </c>
      <c r="G4081" s="3"/>
      <c r="H4081" s="3"/>
      <c r="I4081" s="3" t="s">
        <v>7043</v>
      </c>
      <c r="J4081" s="3"/>
      <c r="K4081" s="3"/>
      <c r="L4081" s="5"/>
    </row>
    <row r="4082" spans="1:12" ht="28.8" x14ac:dyDescent="0.55000000000000004">
      <c r="A4082" s="9" t="str">
        <f>HYPERLINK("PDF\FOIA-FWS-2020-00724-0004081.pdf","FOIA-FWS-2020-00724-0004081")</f>
        <v>FOIA-FWS-2020-00724-0004081</v>
      </c>
      <c r="B4082" s="3" t="s">
        <v>6477</v>
      </c>
      <c r="C4082" s="3" t="s">
        <v>3</v>
      </c>
      <c r="D4082" s="3" t="s">
        <v>33</v>
      </c>
      <c r="E4082" s="3" t="s">
        <v>6478</v>
      </c>
      <c r="F4082" s="4">
        <v>43899.502083333333</v>
      </c>
      <c r="G4082" s="3" t="s">
        <v>1119</v>
      </c>
      <c r="H4082" s="3" t="s">
        <v>5800</v>
      </c>
      <c r="I4082" s="3" t="s">
        <v>7043</v>
      </c>
      <c r="J4082" s="3"/>
      <c r="K4082" s="3"/>
      <c r="L4082" s="5"/>
    </row>
    <row r="4083" spans="1:12" ht="28.8" x14ac:dyDescent="0.55000000000000004">
      <c r="A4083" s="9" t="str">
        <f>HYPERLINK("PDF\FOIA-FWS-2020-00724-0004082.pdf","FOIA-FWS-2020-00724-0004082")</f>
        <v>FOIA-FWS-2020-00724-0004082</v>
      </c>
      <c r="B4083" s="3" t="s">
        <v>6479</v>
      </c>
      <c r="C4083" s="3" t="s">
        <v>3</v>
      </c>
      <c r="D4083" s="3" t="s">
        <v>33</v>
      </c>
      <c r="E4083" s="3" t="s">
        <v>6480</v>
      </c>
      <c r="F4083" s="4">
        <v>43899.517361111109</v>
      </c>
      <c r="G4083" s="3" t="s">
        <v>963</v>
      </c>
      <c r="H4083" s="3" t="s">
        <v>5800</v>
      </c>
      <c r="I4083" s="3" t="s">
        <v>7048</v>
      </c>
      <c r="J4083" s="3" t="s">
        <v>7050</v>
      </c>
      <c r="K4083" s="3" t="s">
        <v>7036</v>
      </c>
      <c r="L4083" s="5"/>
    </row>
    <row r="4084" spans="1:12" ht="43.2" x14ac:dyDescent="0.55000000000000004">
      <c r="A4084" s="9" t="str">
        <f>HYPERLINK("PDF\FOIA-FWS-2020-00724-0004083.pdf","FOIA-FWS-2020-00724-0004083")</f>
        <v>FOIA-FWS-2020-00724-0004083</v>
      </c>
      <c r="B4084" s="3" t="s">
        <v>6481</v>
      </c>
      <c r="C4084" s="3" t="s">
        <v>3</v>
      </c>
      <c r="D4084" s="3" t="s">
        <v>33</v>
      </c>
      <c r="E4084" s="3" t="s">
        <v>6483</v>
      </c>
      <c r="F4084" s="4">
        <v>43899.62222222222</v>
      </c>
      <c r="G4084" s="3" t="s">
        <v>5800</v>
      </c>
      <c r="H4084" s="3" t="s">
        <v>6482</v>
      </c>
      <c r="I4084" s="3" t="s">
        <v>7043</v>
      </c>
      <c r="J4084" s="3"/>
      <c r="K4084" s="3"/>
      <c r="L4084" s="5"/>
    </row>
    <row r="4085" spans="1:12" ht="28.8" x14ac:dyDescent="0.55000000000000004">
      <c r="A4085" s="9" t="str">
        <f>HYPERLINK("PDF\FOIA-FWS-2020-00724-0004084.pdf","FOIA-FWS-2020-00724-0004084")</f>
        <v>FOIA-FWS-2020-00724-0004084</v>
      </c>
      <c r="B4085" s="3" t="s">
        <v>6481</v>
      </c>
      <c r="C4085" s="3" t="s">
        <v>234</v>
      </c>
      <c r="D4085" s="3" t="s">
        <v>33</v>
      </c>
      <c r="E4085" s="3" t="s">
        <v>6484</v>
      </c>
      <c r="F4085" s="4">
        <v>43899.62222222222</v>
      </c>
      <c r="G4085" s="3"/>
      <c r="H4085" s="3"/>
      <c r="I4085" s="3" t="s">
        <v>7043</v>
      </c>
      <c r="J4085" s="3"/>
      <c r="K4085" s="3"/>
      <c r="L4085" s="5"/>
    </row>
    <row r="4086" spans="1:12" ht="28.8" x14ac:dyDescent="0.55000000000000004">
      <c r="A4086" s="9" t="str">
        <f>HYPERLINK("PDF\FOIA-FWS-2020-00724-0004085.pdf","FOIA-FWS-2020-00724-0004085")</f>
        <v>FOIA-FWS-2020-00724-0004085</v>
      </c>
      <c r="B4086" s="3" t="s">
        <v>6485</v>
      </c>
      <c r="C4086" s="3" t="s">
        <v>3</v>
      </c>
      <c r="D4086" s="3" t="s">
        <v>33</v>
      </c>
      <c r="E4086" s="3" t="s">
        <v>6487</v>
      </c>
      <c r="F4086" s="4">
        <v>43899.627083333333</v>
      </c>
      <c r="G4086" s="3" t="s">
        <v>1963</v>
      </c>
      <c r="H4086" s="3" t="s">
        <v>6486</v>
      </c>
      <c r="I4086" s="3" t="s">
        <v>7043</v>
      </c>
      <c r="J4086" s="3"/>
      <c r="K4086" s="3"/>
      <c r="L4086" s="5"/>
    </row>
    <row r="4087" spans="1:12" ht="28.8" x14ac:dyDescent="0.55000000000000004">
      <c r="A4087" s="9" t="str">
        <f>HYPERLINK("PDF\FOIA-FWS-2020-00724-0004086.pdf","FOIA-FWS-2020-00724-0004086")</f>
        <v>FOIA-FWS-2020-00724-0004086</v>
      </c>
      <c r="B4087" s="3" t="s">
        <v>6485</v>
      </c>
      <c r="C4087" s="3" t="s">
        <v>234</v>
      </c>
      <c r="D4087" s="3" t="s">
        <v>33</v>
      </c>
      <c r="E4087" s="3" t="s">
        <v>6484</v>
      </c>
      <c r="F4087" s="4">
        <v>43899.627083333333</v>
      </c>
      <c r="G4087" s="3"/>
      <c r="H4087" s="3"/>
      <c r="I4087" s="3" t="s">
        <v>7043</v>
      </c>
      <c r="J4087" s="3"/>
      <c r="K4087" s="3"/>
      <c r="L4087" s="5"/>
    </row>
    <row r="4088" spans="1:12" ht="28.8" x14ac:dyDescent="0.55000000000000004">
      <c r="A4088" s="9" t="str">
        <f>HYPERLINK("PDF\FOIA-FWS-2020-00724-0004087.pdf","FOIA-FWS-2020-00724-0004087")</f>
        <v>FOIA-FWS-2020-00724-0004087</v>
      </c>
      <c r="B4088" s="3" t="s">
        <v>6488</v>
      </c>
      <c r="C4088" s="3" t="s">
        <v>3</v>
      </c>
      <c r="D4088" s="3" t="s">
        <v>33</v>
      </c>
      <c r="E4088" s="3" t="s">
        <v>6489</v>
      </c>
      <c r="F4088" s="4">
        <v>43899.647222222222</v>
      </c>
      <c r="G4088" s="3" t="s">
        <v>5800</v>
      </c>
      <c r="H4088" s="3" t="s">
        <v>2081</v>
      </c>
      <c r="I4088" s="3" t="s">
        <v>7043</v>
      </c>
      <c r="J4088" s="3"/>
      <c r="K4088" s="3"/>
      <c r="L4088" s="5"/>
    </row>
    <row r="4089" spans="1:12" ht="28.8" x14ac:dyDescent="0.55000000000000004">
      <c r="A4089" s="9" t="str">
        <f>HYPERLINK("PDF\FOIA-FWS-2020-00724-0004088.pdf","FOIA-FWS-2020-00724-0004088")</f>
        <v>FOIA-FWS-2020-00724-0004088</v>
      </c>
      <c r="B4089" s="3" t="s">
        <v>6488</v>
      </c>
      <c r="C4089" s="3" t="s">
        <v>234</v>
      </c>
      <c r="D4089" s="3" t="s">
        <v>33</v>
      </c>
      <c r="E4089" s="3" t="s">
        <v>6490</v>
      </c>
      <c r="F4089" s="4">
        <v>43899.647222222222</v>
      </c>
      <c r="G4089" s="3"/>
      <c r="H4089" s="3"/>
      <c r="I4089" s="3" t="s">
        <v>7043</v>
      </c>
      <c r="J4089" s="3"/>
      <c r="K4089" s="3"/>
      <c r="L4089" s="5"/>
    </row>
    <row r="4090" spans="1:12" ht="28.8" x14ac:dyDescent="0.55000000000000004">
      <c r="A4090" s="9" t="str">
        <f>HYPERLINK("PDF\FOIA-FWS-2020-00724-0004089.pdf","FOIA-FWS-2020-00724-0004089")</f>
        <v>FOIA-FWS-2020-00724-0004089</v>
      </c>
      <c r="B4090" s="3" t="s">
        <v>6491</v>
      </c>
      <c r="C4090" s="3" t="s">
        <v>3</v>
      </c>
      <c r="D4090" s="3" t="s">
        <v>33</v>
      </c>
      <c r="E4090" s="3" t="s">
        <v>6492</v>
      </c>
      <c r="F4090" s="4">
        <v>43899.677777777775</v>
      </c>
      <c r="G4090" s="3" t="s">
        <v>1119</v>
      </c>
      <c r="H4090" s="3" t="s">
        <v>1516</v>
      </c>
      <c r="I4090" s="3" t="s">
        <v>7043</v>
      </c>
      <c r="J4090" s="3"/>
      <c r="K4090" s="3"/>
      <c r="L4090" s="5"/>
    </row>
    <row r="4091" spans="1:12" ht="28.8" x14ac:dyDescent="0.55000000000000004">
      <c r="A4091" s="9" t="str">
        <f>HYPERLINK("PDF\FOIA-FWS-2020-00724-0004090.pdf","FOIA-FWS-2020-00724-0004090")</f>
        <v>FOIA-FWS-2020-00724-0004090</v>
      </c>
      <c r="B4091" s="3" t="s">
        <v>6491</v>
      </c>
      <c r="C4091" s="3" t="s">
        <v>234</v>
      </c>
      <c r="D4091" s="3" t="s">
        <v>33</v>
      </c>
      <c r="E4091" s="3" t="s">
        <v>6493</v>
      </c>
      <c r="F4091" s="4">
        <v>43899.677777777775</v>
      </c>
      <c r="G4091" s="3"/>
      <c r="H4091" s="3"/>
      <c r="I4091" s="3" t="s">
        <v>7043</v>
      </c>
      <c r="J4091" s="3"/>
      <c r="K4091" s="3"/>
      <c r="L4091" s="5"/>
    </row>
    <row r="4092" spans="1:12" ht="28.8" x14ac:dyDescent="0.55000000000000004">
      <c r="A4092" s="9" t="str">
        <f>HYPERLINK("PDF\FOIA-FWS-2020-00724-0004091.pdf","FOIA-FWS-2020-00724-0004091")</f>
        <v>FOIA-FWS-2020-00724-0004091</v>
      </c>
      <c r="B4092" s="3" t="s">
        <v>6494</v>
      </c>
      <c r="C4092" s="3" t="s">
        <v>3</v>
      </c>
      <c r="D4092" s="3" t="s">
        <v>33</v>
      </c>
      <c r="E4092" s="3" t="s">
        <v>6495</v>
      </c>
      <c r="F4092" s="4">
        <v>43899.689583333333</v>
      </c>
      <c r="G4092" s="3" t="s">
        <v>2022</v>
      </c>
      <c r="H4092" s="3" t="s">
        <v>1119</v>
      </c>
      <c r="I4092" s="3" t="s">
        <v>7043</v>
      </c>
      <c r="J4092" s="3"/>
      <c r="K4092" s="3"/>
      <c r="L4092" s="5"/>
    </row>
    <row r="4093" spans="1:12" ht="28.8" x14ac:dyDescent="0.55000000000000004">
      <c r="A4093" s="9" t="str">
        <f>HYPERLINK("PDF\FOIA-FWS-2020-00724-0004092.pdf","FOIA-FWS-2020-00724-0004092")</f>
        <v>FOIA-FWS-2020-00724-0004092</v>
      </c>
      <c r="B4093" s="3" t="s">
        <v>6494</v>
      </c>
      <c r="C4093" s="3" t="s">
        <v>234</v>
      </c>
      <c r="D4093" s="3" t="s">
        <v>33</v>
      </c>
      <c r="E4093" s="3" t="s">
        <v>6496</v>
      </c>
      <c r="F4093" s="4">
        <v>43899.689583333333</v>
      </c>
      <c r="G4093" s="3"/>
      <c r="H4093" s="3"/>
      <c r="I4093" s="3" t="s">
        <v>7043</v>
      </c>
      <c r="J4093" s="3"/>
      <c r="K4093" s="3"/>
      <c r="L4093" s="5"/>
    </row>
    <row r="4094" spans="1:12" ht="28.8" x14ac:dyDescent="0.55000000000000004">
      <c r="A4094" s="9" t="str">
        <f>HYPERLINK("PDF\FOIA-FWS-2020-00724-0004093.pdf","FOIA-FWS-2020-00724-0004093")</f>
        <v>FOIA-FWS-2020-00724-0004093</v>
      </c>
      <c r="B4094" s="3" t="s">
        <v>6497</v>
      </c>
      <c r="C4094" s="3" t="s">
        <v>3</v>
      </c>
      <c r="D4094" s="3" t="s">
        <v>33</v>
      </c>
      <c r="E4094" s="3" t="s">
        <v>6498</v>
      </c>
      <c r="F4094" s="4">
        <v>43899.713888888888</v>
      </c>
      <c r="G4094" s="3" t="s">
        <v>872</v>
      </c>
      <c r="H4094" s="3" t="s">
        <v>6431</v>
      </c>
      <c r="I4094" s="3" t="s">
        <v>7043</v>
      </c>
      <c r="J4094" s="3"/>
      <c r="K4094" s="3"/>
      <c r="L4094" s="5"/>
    </row>
    <row r="4095" spans="1:12" ht="28.8" x14ac:dyDescent="0.55000000000000004">
      <c r="A4095" s="9" t="str">
        <f>HYPERLINK("PDF\FOIA-FWS-2020-00724-0004094.pdf","FOIA-FWS-2020-00724-0004094")</f>
        <v>FOIA-FWS-2020-00724-0004094</v>
      </c>
      <c r="B4095" s="3" t="s">
        <v>6499</v>
      </c>
      <c r="C4095" s="3" t="s">
        <v>3</v>
      </c>
      <c r="D4095" s="3" t="s">
        <v>33</v>
      </c>
      <c r="E4095" s="3" t="s">
        <v>6500</v>
      </c>
      <c r="F4095" s="4">
        <v>43899.716666666667</v>
      </c>
      <c r="G4095" s="3" t="s">
        <v>872</v>
      </c>
      <c r="H4095" s="3" t="s">
        <v>5800</v>
      </c>
      <c r="I4095" s="3" t="s">
        <v>7043</v>
      </c>
      <c r="J4095" s="3"/>
      <c r="K4095" s="3"/>
      <c r="L4095" s="5"/>
    </row>
    <row r="4096" spans="1:12" ht="28.8" x14ac:dyDescent="0.55000000000000004">
      <c r="A4096" s="9" t="str">
        <f>HYPERLINK("PDF\FOIA-FWS-2020-00724-0004095.pdf","FOIA-FWS-2020-00724-0004095")</f>
        <v>FOIA-FWS-2020-00724-0004095</v>
      </c>
      <c r="B4096" s="3" t="s">
        <v>6499</v>
      </c>
      <c r="C4096" s="3" t="s">
        <v>234</v>
      </c>
      <c r="D4096" s="3" t="s">
        <v>33</v>
      </c>
      <c r="E4096" s="3" t="s">
        <v>6501</v>
      </c>
      <c r="F4096" s="4">
        <v>43899.716666666667</v>
      </c>
      <c r="G4096" s="3"/>
      <c r="H4096" s="3"/>
      <c r="I4096" s="3" t="s">
        <v>7043</v>
      </c>
      <c r="J4096" s="3"/>
      <c r="K4096" s="3"/>
      <c r="L4096" s="5"/>
    </row>
    <row r="4097" spans="1:12" ht="28.8" x14ac:dyDescent="0.55000000000000004">
      <c r="A4097" s="9" t="str">
        <f>HYPERLINK("PDF\FOIA-FWS-2020-00724-0004096.pdf","FOIA-FWS-2020-00724-0004096")</f>
        <v>FOIA-FWS-2020-00724-0004096</v>
      </c>
      <c r="B4097" s="3" t="s">
        <v>6502</v>
      </c>
      <c r="C4097" s="3" t="s">
        <v>3</v>
      </c>
      <c r="D4097" s="3" t="s">
        <v>33</v>
      </c>
      <c r="E4097" s="3" t="s">
        <v>6503</v>
      </c>
      <c r="F4097" s="4">
        <v>43899.727777777778</v>
      </c>
      <c r="G4097" s="3" t="s">
        <v>1119</v>
      </c>
      <c r="H4097" s="3" t="s">
        <v>5800</v>
      </c>
      <c r="I4097" s="3" t="s">
        <v>7043</v>
      </c>
      <c r="J4097" s="3"/>
      <c r="K4097" s="3"/>
      <c r="L4097" s="5"/>
    </row>
    <row r="4098" spans="1:12" ht="28.8" x14ac:dyDescent="0.55000000000000004">
      <c r="A4098" s="9" t="str">
        <f>HYPERLINK("PDF\FOIA-FWS-2020-00724-0004097.pdf","FOIA-FWS-2020-00724-0004097")</f>
        <v>FOIA-FWS-2020-00724-0004097</v>
      </c>
      <c r="B4098" s="3" t="s">
        <v>6502</v>
      </c>
      <c r="C4098" s="3" t="s">
        <v>234</v>
      </c>
      <c r="D4098" s="3" t="s">
        <v>33</v>
      </c>
      <c r="E4098" s="3" t="s">
        <v>6504</v>
      </c>
      <c r="F4098" s="4">
        <v>43899.727777777778</v>
      </c>
      <c r="G4098" s="3"/>
      <c r="H4098" s="3"/>
      <c r="I4098" s="3" t="s">
        <v>7043</v>
      </c>
      <c r="J4098" s="3"/>
      <c r="K4098" s="3"/>
      <c r="L4098" s="5"/>
    </row>
    <row r="4099" spans="1:12" ht="28.8" x14ac:dyDescent="0.55000000000000004">
      <c r="A4099" s="9" t="str">
        <f>HYPERLINK("PDF\FOIA-FWS-2020-00724-0004098.pdf","FOIA-FWS-2020-00724-0004098")</f>
        <v>FOIA-FWS-2020-00724-0004098</v>
      </c>
      <c r="B4099" s="3" t="s">
        <v>6505</v>
      </c>
      <c r="C4099" s="3" t="s">
        <v>3</v>
      </c>
      <c r="D4099" s="3" t="s">
        <v>33</v>
      </c>
      <c r="E4099" s="3" t="s">
        <v>6506</v>
      </c>
      <c r="F4099" s="4">
        <v>43899.740277777775</v>
      </c>
      <c r="G4099" s="3" t="s">
        <v>919</v>
      </c>
      <c r="H4099" s="3" t="s">
        <v>5800</v>
      </c>
      <c r="I4099" s="3" t="s">
        <v>7043</v>
      </c>
      <c r="J4099" s="3"/>
      <c r="K4099" s="3"/>
      <c r="L4099" s="5"/>
    </row>
    <row r="4100" spans="1:12" ht="28.8" x14ac:dyDescent="0.55000000000000004">
      <c r="A4100" s="9" t="str">
        <f>HYPERLINK("PDF\FOIA-FWS-2020-00724-0004099.pdf","FOIA-FWS-2020-00724-0004099")</f>
        <v>FOIA-FWS-2020-00724-0004099</v>
      </c>
      <c r="B4100" s="3" t="s">
        <v>6507</v>
      </c>
      <c r="C4100" s="3" t="s">
        <v>3</v>
      </c>
      <c r="D4100" s="3" t="s">
        <v>33</v>
      </c>
      <c r="E4100" s="3" t="s">
        <v>6508</v>
      </c>
      <c r="F4100" s="4">
        <v>43899.749305555553</v>
      </c>
      <c r="G4100" s="3" t="s">
        <v>1119</v>
      </c>
      <c r="H4100" s="3" t="s">
        <v>1730</v>
      </c>
      <c r="I4100" s="3" t="s">
        <v>7043</v>
      </c>
      <c r="J4100" s="3"/>
      <c r="K4100" s="3"/>
      <c r="L4100" s="5"/>
    </row>
    <row r="4101" spans="1:12" ht="28.8" x14ac:dyDescent="0.55000000000000004">
      <c r="A4101" s="9" t="str">
        <f>HYPERLINK("PDF\FOIA-FWS-2020-00724-0004100.pdf","FOIA-FWS-2020-00724-0004100")</f>
        <v>FOIA-FWS-2020-00724-0004100</v>
      </c>
      <c r="B4101" s="3" t="s">
        <v>6507</v>
      </c>
      <c r="C4101" s="3" t="s">
        <v>234</v>
      </c>
      <c r="D4101" s="3" t="s">
        <v>33</v>
      </c>
      <c r="E4101" s="3" t="s">
        <v>3305</v>
      </c>
      <c r="F4101" s="4">
        <v>43899.749305555553</v>
      </c>
      <c r="G4101" s="3"/>
      <c r="H4101" s="3"/>
      <c r="I4101" s="3" t="s">
        <v>7043</v>
      </c>
      <c r="J4101" s="3"/>
      <c r="K4101" s="3"/>
      <c r="L4101" s="5" t="str">
        <f>HYPERLINK("NATIVE_FILES\FOIA-FWS-2020-00724-0004100.xlsx","FOIA-FWS-2020-00724-0004100.xlsx")</f>
        <v>FOIA-FWS-2020-00724-0004100.xlsx</v>
      </c>
    </row>
    <row r="4102" spans="1:12" ht="28.8" x14ac:dyDescent="0.55000000000000004">
      <c r="A4102" s="9" t="str">
        <f>HYPERLINK("PDF\FOIA-FWS-2020-00724-0004101.pdf","FOIA-FWS-2020-00724-0004101")</f>
        <v>FOIA-FWS-2020-00724-0004101</v>
      </c>
      <c r="B4102" s="3" t="s">
        <v>6509</v>
      </c>
      <c r="C4102" s="3" t="s">
        <v>3</v>
      </c>
      <c r="D4102" s="3" t="s">
        <v>33</v>
      </c>
      <c r="E4102" s="3" t="s">
        <v>6510</v>
      </c>
      <c r="F4102" s="4">
        <v>43899.769444444442</v>
      </c>
      <c r="G4102" s="3" t="s">
        <v>2022</v>
      </c>
      <c r="H4102" s="3" t="s">
        <v>5800</v>
      </c>
      <c r="I4102" s="3" t="s">
        <v>7043</v>
      </c>
      <c r="J4102" s="3"/>
      <c r="K4102" s="3"/>
      <c r="L4102" s="5"/>
    </row>
    <row r="4103" spans="1:12" ht="28.8" x14ac:dyDescent="0.55000000000000004">
      <c r="A4103" s="9" t="str">
        <f>HYPERLINK("PDF\FOIA-FWS-2020-00724-0004102.pdf","FOIA-FWS-2020-00724-0004102")</f>
        <v>FOIA-FWS-2020-00724-0004102</v>
      </c>
      <c r="B4103" s="3" t="s">
        <v>6509</v>
      </c>
      <c r="C4103" s="3" t="s">
        <v>234</v>
      </c>
      <c r="D4103" s="3" t="s">
        <v>33</v>
      </c>
      <c r="E4103" s="3" t="s">
        <v>6511</v>
      </c>
      <c r="F4103" s="4">
        <v>43899.769444444442</v>
      </c>
      <c r="G4103" s="3"/>
      <c r="H4103" s="3"/>
      <c r="I4103" s="3" t="s">
        <v>7043</v>
      </c>
      <c r="J4103" s="3"/>
      <c r="K4103" s="3"/>
      <c r="L4103" s="5"/>
    </row>
    <row r="4104" spans="1:12" ht="28.8" x14ac:dyDescent="0.55000000000000004">
      <c r="A4104" s="9" t="str">
        <f>HYPERLINK("PDF\FOIA-FWS-2020-00724-0004103.pdf","FOIA-FWS-2020-00724-0004103")</f>
        <v>FOIA-FWS-2020-00724-0004103</v>
      </c>
      <c r="B4104" s="3" t="s">
        <v>6512</v>
      </c>
      <c r="C4104" s="3" t="s">
        <v>3</v>
      </c>
      <c r="D4104" s="3" t="s">
        <v>33</v>
      </c>
      <c r="E4104" s="3" t="s">
        <v>6513</v>
      </c>
      <c r="F4104" s="4">
        <v>43899.777083333334</v>
      </c>
      <c r="G4104" s="3" t="s">
        <v>1489</v>
      </c>
      <c r="H4104" s="3" t="s">
        <v>1119</v>
      </c>
      <c r="I4104" s="3" t="s">
        <v>7043</v>
      </c>
      <c r="J4104" s="3"/>
      <c r="K4104" s="3"/>
      <c r="L4104" s="5"/>
    </row>
    <row r="4105" spans="1:12" ht="28.8" x14ac:dyDescent="0.55000000000000004">
      <c r="A4105" s="9" t="str">
        <f>HYPERLINK("PDF\FOIA-FWS-2020-00724-0004104.pdf","FOIA-FWS-2020-00724-0004104")</f>
        <v>FOIA-FWS-2020-00724-0004104</v>
      </c>
      <c r="B4105" s="3" t="s">
        <v>6514</v>
      </c>
      <c r="C4105" s="3" t="s">
        <v>3</v>
      </c>
      <c r="D4105" s="3" t="s">
        <v>33</v>
      </c>
      <c r="E4105" s="3" t="s">
        <v>6515</v>
      </c>
      <c r="F4105" s="4">
        <v>43899.777777777781</v>
      </c>
      <c r="G4105" s="3" t="s">
        <v>5800</v>
      </c>
      <c r="H4105" s="3" t="s">
        <v>2022</v>
      </c>
      <c r="I4105" s="3" t="s">
        <v>7043</v>
      </c>
      <c r="J4105" s="3"/>
      <c r="K4105" s="3"/>
      <c r="L4105" s="5"/>
    </row>
    <row r="4106" spans="1:12" ht="28.8" x14ac:dyDescent="0.55000000000000004">
      <c r="A4106" s="9" t="str">
        <f>HYPERLINK("PDF\FOIA-FWS-2020-00724-0004105.pdf","FOIA-FWS-2020-00724-0004105")</f>
        <v>FOIA-FWS-2020-00724-0004105</v>
      </c>
      <c r="B4106" s="3" t="s">
        <v>6516</v>
      </c>
      <c r="C4106" s="3" t="s">
        <v>3</v>
      </c>
      <c r="D4106" s="3" t="s">
        <v>33</v>
      </c>
      <c r="E4106" s="3" t="s">
        <v>6517</v>
      </c>
      <c r="F4106" s="4">
        <v>43899.78125</v>
      </c>
      <c r="G4106" s="3" t="s">
        <v>5800</v>
      </c>
      <c r="H4106" s="3" t="s">
        <v>945</v>
      </c>
      <c r="I4106" s="3" t="s">
        <v>7043</v>
      </c>
      <c r="J4106" s="3"/>
      <c r="K4106" s="3"/>
      <c r="L4106" s="5"/>
    </row>
    <row r="4107" spans="1:12" ht="28.8" x14ac:dyDescent="0.55000000000000004">
      <c r="A4107" s="9" t="str">
        <f>HYPERLINK("PDF\FOIA-FWS-2020-00724-0004106.pdf","FOIA-FWS-2020-00724-0004106")</f>
        <v>FOIA-FWS-2020-00724-0004106</v>
      </c>
      <c r="B4107" s="3" t="s">
        <v>6516</v>
      </c>
      <c r="C4107" s="3" t="s">
        <v>234</v>
      </c>
      <c r="D4107" s="3" t="s">
        <v>33</v>
      </c>
      <c r="E4107" s="3" t="s">
        <v>6518</v>
      </c>
      <c r="F4107" s="4">
        <v>43899.78125</v>
      </c>
      <c r="G4107" s="3"/>
      <c r="H4107" s="3"/>
      <c r="I4107" s="3" t="s">
        <v>7043</v>
      </c>
      <c r="J4107" s="3"/>
      <c r="K4107" s="3"/>
      <c r="L4107" s="5"/>
    </row>
    <row r="4108" spans="1:12" ht="28.8" x14ac:dyDescent="0.55000000000000004">
      <c r="A4108" s="9" t="str">
        <f>HYPERLINK("PDF\FOIA-FWS-2020-00724-0004107.pdf","FOIA-FWS-2020-00724-0004107")</f>
        <v>FOIA-FWS-2020-00724-0004107</v>
      </c>
      <c r="B4108" s="3" t="s">
        <v>6519</v>
      </c>
      <c r="C4108" s="3" t="s">
        <v>3</v>
      </c>
      <c r="D4108" s="3" t="s">
        <v>33</v>
      </c>
      <c r="E4108" s="3" t="s">
        <v>6521</v>
      </c>
      <c r="F4108" s="4">
        <v>43899.809027777781</v>
      </c>
      <c r="G4108" s="3" t="s">
        <v>5274</v>
      </c>
      <c r="H4108" s="3" t="s">
        <v>6520</v>
      </c>
      <c r="I4108" s="3" t="s">
        <v>7043</v>
      </c>
      <c r="J4108" s="3"/>
      <c r="K4108" s="3"/>
      <c r="L4108" s="5"/>
    </row>
    <row r="4109" spans="1:12" ht="28.8" x14ac:dyDescent="0.55000000000000004">
      <c r="A4109" s="9" t="str">
        <f>HYPERLINK("PDF\FOIA-FWS-2020-00724-0004108.pdf","FOIA-FWS-2020-00724-0004108")</f>
        <v>FOIA-FWS-2020-00724-0004108</v>
      </c>
      <c r="B4109" s="3" t="s">
        <v>6522</v>
      </c>
      <c r="C4109" s="3" t="s">
        <v>3</v>
      </c>
      <c r="D4109" s="3" t="s">
        <v>33</v>
      </c>
      <c r="E4109" s="3" t="s">
        <v>6523</v>
      </c>
      <c r="F4109" s="4">
        <v>43899.80972222222</v>
      </c>
      <c r="G4109" s="3" t="s">
        <v>1730</v>
      </c>
      <c r="H4109" s="3" t="s">
        <v>1119</v>
      </c>
      <c r="I4109" s="3" t="s">
        <v>7043</v>
      </c>
      <c r="J4109" s="3"/>
      <c r="K4109" s="3"/>
      <c r="L4109" s="5"/>
    </row>
    <row r="4110" spans="1:12" ht="28.8" x14ac:dyDescent="0.55000000000000004">
      <c r="A4110" s="9" t="str">
        <f>HYPERLINK("PDF\FOIA-FWS-2020-00724-0004109.pdf","FOIA-FWS-2020-00724-0004109")</f>
        <v>FOIA-FWS-2020-00724-0004109</v>
      </c>
      <c r="B4110" s="3" t="s">
        <v>6522</v>
      </c>
      <c r="C4110" s="3" t="s">
        <v>234</v>
      </c>
      <c r="D4110" s="3" t="s">
        <v>33</v>
      </c>
      <c r="E4110" s="3" t="s">
        <v>6524</v>
      </c>
      <c r="F4110" s="4">
        <v>43899.80972222222</v>
      </c>
      <c r="G4110" s="3"/>
      <c r="H4110" s="3"/>
      <c r="I4110" s="3" t="s">
        <v>7043</v>
      </c>
      <c r="J4110" s="3"/>
      <c r="K4110" s="3"/>
      <c r="L4110" s="5" t="str">
        <f>HYPERLINK("NATIVE_FILES\FOIA-FWS-2020-00724-0004109.xlsx","FOIA-FWS-2020-00724-0004109.xlsx")</f>
        <v>FOIA-FWS-2020-00724-0004109.xlsx</v>
      </c>
    </row>
    <row r="4111" spans="1:12" ht="28.8" x14ac:dyDescent="0.55000000000000004">
      <c r="A4111" s="9" t="str">
        <f>HYPERLINK("PDF\FOIA-FWS-2020-00724-0004110.pdf","FOIA-FWS-2020-00724-0004110")</f>
        <v>FOIA-FWS-2020-00724-0004110</v>
      </c>
      <c r="B4111" s="3" t="s">
        <v>6525</v>
      </c>
      <c r="C4111" s="3" t="s">
        <v>3</v>
      </c>
      <c r="D4111" s="3" t="s">
        <v>33</v>
      </c>
      <c r="E4111" s="3" t="s">
        <v>6526</v>
      </c>
      <c r="F4111" s="4">
        <v>43899.811805555553</v>
      </c>
      <c r="G4111" s="3" t="s">
        <v>1516</v>
      </c>
      <c r="H4111" s="3" t="s">
        <v>3422</v>
      </c>
      <c r="I4111" s="3" t="s">
        <v>7043</v>
      </c>
      <c r="J4111" s="3"/>
      <c r="K4111" s="3"/>
      <c r="L4111" s="5"/>
    </row>
    <row r="4112" spans="1:12" ht="28.8" x14ac:dyDescent="0.55000000000000004">
      <c r="A4112" s="9" t="str">
        <f>HYPERLINK("PDF\FOIA-FWS-2020-00724-0004111.pdf","FOIA-FWS-2020-00724-0004111")</f>
        <v>FOIA-FWS-2020-00724-0004111</v>
      </c>
      <c r="B4112" s="3" t="s">
        <v>6527</v>
      </c>
      <c r="C4112" s="3" t="s">
        <v>3</v>
      </c>
      <c r="D4112" s="3" t="s">
        <v>33</v>
      </c>
      <c r="E4112" s="3" t="s">
        <v>6528</v>
      </c>
      <c r="F4112" s="4">
        <v>43899.815972222219</v>
      </c>
      <c r="G4112" s="3" t="s">
        <v>5800</v>
      </c>
      <c r="H4112" s="3" t="s">
        <v>6520</v>
      </c>
      <c r="I4112" s="3" t="s">
        <v>7043</v>
      </c>
      <c r="J4112" s="3"/>
      <c r="K4112" s="3"/>
      <c r="L4112" s="5"/>
    </row>
    <row r="4113" spans="1:12" ht="28.8" x14ac:dyDescent="0.55000000000000004">
      <c r="A4113" s="9" t="str">
        <f>HYPERLINK("PDF\FOIA-FWS-2020-00724-0004112.pdf","FOIA-FWS-2020-00724-0004112")</f>
        <v>FOIA-FWS-2020-00724-0004112</v>
      </c>
      <c r="B4113" s="3" t="s">
        <v>6527</v>
      </c>
      <c r="C4113" s="3" t="s">
        <v>234</v>
      </c>
      <c r="D4113" s="3" t="s">
        <v>33</v>
      </c>
      <c r="E4113" s="3" t="s">
        <v>6458</v>
      </c>
      <c r="F4113" s="4">
        <v>43899.815972222219</v>
      </c>
      <c r="G4113" s="3"/>
      <c r="H4113" s="3"/>
      <c r="I4113" s="3" t="s">
        <v>7043</v>
      </c>
      <c r="J4113" s="3"/>
      <c r="K4113" s="3"/>
      <c r="L4113" s="5"/>
    </row>
    <row r="4114" spans="1:12" ht="28.8" x14ac:dyDescent="0.55000000000000004">
      <c r="A4114" s="9" t="str">
        <f>HYPERLINK("PDF\FOIA-FWS-2020-00724-0004113.pdf","FOIA-FWS-2020-00724-0004113")</f>
        <v>FOIA-FWS-2020-00724-0004113</v>
      </c>
      <c r="B4114" s="3" t="s">
        <v>6529</v>
      </c>
      <c r="C4114" s="3" t="s">
        <v>3</v>
      </c>
      <c r="D4114" s="3" t="s">
        <v>33</v>
      </c>
      <c r="E4114" s="3" t="s">
        <v>6531</v>
      </c>
      <c r="F4114" s="4">
        <v>43899.820833333331</v>
      </c>
      <c r="G4114" s="3" t="s">
        <v>872</v>
      </c>
      <c r="H4114" s="3" t="s">
        <v>6530</v>
      </c>
      <c r="I4114" s="3" t="s">
        <v>7043</v>
      </c>
      <c r="J4114" s="3"/>
      <c r="K4114" s="3"/>
      <c r="L4114" s="5"/>
    </row>
    <row r="4115" spans="1:12" ht="28.8" x14ac:dyDescent="0.55000000000000004">
      <c r="A4115" s="9" t="str">
        <f>HYPERLINK("PDF\FOIA-FWS-2020-00724-0004114.pdf","FOIA-FWS-2020-00724-0004114")</f>
        <v>FOIA-FWS-2020-00724-0004114</v>
      </c>
      <c r="B4115" s="3" t="s">
        <v>6532</v>
      </c>
      <c r="C4115" s="3" t="s">
        <v>3</v>
      </c>
      <c r="D4115" s="3" t="s">
        <v>33</v>
      </c>
      <c r="E4115" s="3" t="s">
        <v>6533</v>
      </c>
      <c r="F4115" s="4">
        <v>43900.438194444447</v>
      </c>
      <c r="G4115" s="3" t="s">
        <v>963</v>
      </c>
      <c r="H4115" s="3" t="s">
        <v>6195</v>
      </c>
      <c r="I4115" s="3" t="s">
        <v>7043</v>
      </c>
      <c r="J4115" s="3"/>
      <c r="K4115" s="3"/>
      <c r="L4115" s="5"/>
    </row>
    <row r="4116" spans="1:12" ht="28.8" x14ac:dyDescent="0.55000000000000004">
      <c r="A4116" s="9" t="str">
        <f>HYPERLINK("PDF\FOIA-FWS-2020-00724-0004115.pdf","FOIA-FWS-2020-00724-0004115")</f>
        <v>FOIA-FWS-2020-00724-0004115</v>
      </c>
      <c r="B4116" s="3" t="s">
        <v>6532</v>
      </c>
      <c r="C4116" s="3" t="s">
        <v>234</v>
      </c>
      <c r="D4116" s="3" t="s">
        <v>33</v>
      </c>
      <c r="E4116" s="3" t="s">
        <v>6534</v>
      </c>
      <c r="F4116" s="4">
        <v>43900.438194444447</v>
      </c>
      <c r="G4116" s="3"/>
      <c r="H4116" s="3"/>
      <c r="I4116" s="3" t="s">
        <v>7043</v>
      </c>
      <c r="J4116" s="3"/>
      <c r="K4116" s="3"/>
      <c r="L4116" s="5"/>
    </row>
    <row r="4117" spans="1:12" ht="28.8" x14ac:dyDescent="0.55000000000000004">
      <c r="A4117" s="9" t="str">
        <f>HYPERLINK("PDF\FOIA-FWS-2020-00724-0004116.pdf","FOIA-FWS-2020-00724-0004116")</f>
        <v>FOIA-FWS-2020-00724-0004116</v>
      </c>
      <c r="B4117" s="3" t="s">
        <v>6532</v>
      </c>
      <c r="C4117" s="3" t="s">
        <v>234</v>
      </c>
      <c r="D4117" s="3" t="s">
        <v>33</v>
      </c>
      <c r="E4117" s="3" t="s">
        <v>6535</v>
      </c>
      <c r="F4117" s="4">
        <v>43900.438194444447</v>
      </c>
      <c r="G4117" s="3"/>
      <c r="H4117" s="3"/>
      <c r="I4117" s="3" t="s">
        <v>7043</v>
      </c>
      <c r="J4117" s="3"/>
      <c r="K4117" s="3"/>
      <c r="L4117" s="5"/>
    </row>
    <row r="4118" spans="1:12" ht="28.8" x14ac:dyDescent="0.55000000000000004">
      <c r="A4118" s="9" t="str">
        <f>HYPERLINK("PDF\FOIA-FWS-2020-00724-0004117.pdf","FOIA-FWS-2020-00724-0004117")</f>
        <v>FOIA-FWS-2020-00724-0004117</v>
      </c>
      <c r="B4118" s="3" t="s">
        <v>6532</v>
      </c>
      <c r="C4118" s="3" t="s">
        <v>234</v>
      </c>
      <c r="D4118" s="3" t="s">
        <v>33</v>
      </c>
      <c r="E4118" s="3" t="s">
        <v>6536</v>
      </c>
      <c r="F4118" s="4">
        <v>43900.438194444447</v>
      </c>
      <c r="G4118" s="3"/>
      <c r="H4118" s="3"/>
      <c r="I4118" s="3" t="s">
        <v>7043</v>
      </c>
      <c r="J4118" s="3"/>
      <c r="K4118" s="3"/>
      <c r="L4118" s="5"/>
    </row>
    <row r="4119" spans="1:12" ht="43.2" x14ac:dyDescent="0.55000000000000004">
      <c r="A4119" s="9" t="str">
        <f>HYPERLINK("PDF\FOIA-FWS-2020-00724-0004118.pdf","FOIA-FWS-2020-00724-0004118")</f>
        <v>FOIA-FWS-2020-00724-0004118</v>
      </c>
      <c r="B4119" s="3" t="s">
        <v>6537</v>
      </c>
      <c r="C4119" s="3" t="s">
        <v>3</v>
      </c>
      <c r="D4119" s="3" t="s">
        <v>33</v>
      </c>
      <c r="E4119" s="3" t="s">
        <v>6539</v>
      </c>
      <c r="F4119" s="4">
        <v>43900.578472222223</v>
      </c>
      <c r="G4119" s="3" t="s">
        <v>872</v>
      </c>
      <c r="H4119" s="3" t="s">
        <v>6538</v>
      </c>
      <c r="I4119" s="3" t="s">
        <v>7043</v>
      </c>
      <c r="J4119" s="3"/>
      <c r="K4119" s="3"/>
      <c r="L4119" s="5"/>
    </row>
    <row r="4120" spans="1:12" ht="28.8" x14ac:dyDescent="0.55000000000000004">
      <c r="A4120" s="9" t="str">
        <f>HYPERLINK("PDF\FOIA-FWS-2020-00724-0004119.pdf","FOIA-FWS-2020-00724-0004119")</f>
        <v>FOIA-FWS-2020-00724-0004119</v>
      </c>
      <c r="B4120" s="3" t="s">
        <v>6540</v>
      </c>
      <c r="C4120" s="3" t="s">
        <v>3</v>
      </c>
      <c r="D4120" s="3" t="s">
        <v>33</v>
      </c>
      <c r="E4120" s="3" t="s">
        <v>6541</v>
      </c>
      <c r="F4120" s="4">
        <v>43900.592361111114</v>
      </c>
      <c r="G4120" s="3" t="s">
        <v>1012</v>
      </c>
      <c r="H4120" s="3" t="s">
        <v>963</v>
      </c>
      <c r="I4120" s="3" t="s">
        <v>7043</v>
      </c>
      <c r="J4120" s="3"/>
      <c r="K4120" s="3"/>
      <c r="L4120" s="5"/>
    </row>
    <row r="4121" spans="1:12" ht="28.8" x14ac:dyDescent="0.55000000000000004">
      <c r="A4121" s="9" t="str">
        <f>HYPERLINK("PDF\FOIA-FWS-2020-00724-0004120.pdf","FOIA-FWS-2020-00724-0004120")</f>
        <v>FOIA-FWS-2020-00724-0004120</v>
      </c>
      <c r="B4121" s="3" t="s">
        <v>6542</v>
      </c>
      <c r="C4121" s="3" t="s">
        <v>3</v>
      </c>
      <c r="D4121" s="3" t="s">
        <v>33</v>
      </c>
      <c r="E4121" s="3" t="s">
        <v>6543</v>
      </c>
      <c r="F4121" s="4">
        <v>43900.643750000003</v>
      </c>
      <c r="G4121" s="3" t="s">
        <v>1119</v>
      </c>
      <c r="H4121" s="3" t="s">
        <v>872</v>
      </c>
      <c r="I4121" s="3" t="s">
        <v>7043</v>
      </c>
      <c r="J4121" s="3"/>
      <c r="K4121" s="3"/>
      <c r="L4121" s="5"/>
    </row>
    <row r="4122" spans="1:12" ht="28.8" x14ac:dyDescent="0.55000000000000004">
      <c r="A4122" s="9" t="str">
        <f>HYPERLINK("PDF\FOIA-FWS-2020-00724-0004121.pdf","FOIA-FWS-2020-00724-0004121")</f>
        <v>FOIA-FWS-2020-00724-0004121</v>
      </c>
      <c r="B4122" s="3" t="s">
        <v>6544</v>
      </c>
      <c r="C4122" s="3" t="s">
        <v>3</v>
      </c>
      <c r="D4122" s="3" t="s">
        <v>33</v>
      </c>
      <c r="E4122" s="3" t="s">
        <v>6545</v>
      </c>
      <c r="F4122" s="4">
        <v>43900.647916666669</v>
      </c>
      <c r="G4122" s="3" t="s">
        <v>1119</v>
      </c>
      <c r="H4122" s="3" t="s">
        <v>872</v>
      </c>
      <c r="I4122" s="3" t="s">
        <v>7043</v>
      </c>
      <c r="J4122" s="3"/>
      <c r="K4122" s="3"/>
      <c r="L4122" s="5"/>
    </row>
    <row r="4123" spans="1:12" ht="43.2" x14ac:dyDescent="0.55000000000000004">
      <c r="A4123" s="9" t="str">
        <f>HYPERLINK("PDF\FOIA-FWS-2020-00724-0004122.pdf","FOIA-FWS-2020-00724-0004122")</f>
        <v>FOIA-FWS-2020-00724-0004122</v>
      </c>
      <c r="B4123" s="3" t="s">
        <v>6546</v>
      </c>
      <c r="C4123" s="3" t="s">
        <v>3</v>
      </c>
      <c r="D4123" s="3" t="s">
        <v>33</v>
      </c>
      <c r="E4123" s="3" t="s">
        <v>6548</v>
      </c>
      <c r="F4123" s="4">
        <v>43900.664583333331</v>
      </c>
      <c r="G4123" s="3" t="s">
        <v>1119</v>
      </c>
      <c r="H4123" s="3" t="s">
        <v>6547</v>
      </c>
      <c r="I4123" s="3" t="s">
        <v>7043</v>
      </c>
      <c r="J4123" s="3"/>
      <c r="K4123" s="3"/>
      <c r="L4123" s="5"/>
    </row>
    <row r="4124" spans="1:12" ht="28.8" x14ac:dyDescent="0.55000000000000004">
      <c r="A4124" s="9" t="str">
        <f>HYPERLINK("PDF\FOIA-FWS-2020-00724-0004123.pdf","FOIA-FWS-2020-00724-0004123")</f>
        <v>FOIA-FWS-2020-00724-0004123</v>
      </c>
      <c r="B4124" s="3" t="s">
        <v>6546</v>
      </c>
      <c r="C4124" s="3" t="s">
        <v>234</v>
      </c>
      <c r="D4124" s="3" t="s">
        <v>33</v>
      </c>
      <c r="E4124" s="3" t="s">
        <v>6549</v>
      </c>
      <c r="F4124" s="4">
        <v>43900.664583333331</v>
      </c>
      <c r="G4124" s="3"/>
      <c r="H4124" s="3"/>
      <c r="I4124" s="3" t="s">
        <v>7043</v>
      </c>
      <c r="J4124" s="3"/>
      <c r="K4124" s="3"/>
      <c r="L4124" s="5" t="str">
        <f>HYPERLINK("NATIVE_FILES\FOIA-FWS-2020-00724-0004123.xlsx","FOIA-FWS-2020-00724-0004123.xlsx")</f>
        <v>FOIA-FWS-2020-00724-0004123.xlsx</v>
      </c>
    </row>
    <row r="4125" spans="1:12" ht="28.8" x14ac:dyDescent="0.55000000000000004">
      <c r="A4125" s="9" t="str">
        <f>HYPERLINK("PDF\FOIA-FWS-2020-00724-0004124.pdf","FOIA-FWS-2020-00724-0004124")</f>
        <v>FOIA-FWS-2020-00724-0004124</v>
      </c>
      <c r="B4125" s="3" t="s">
        <v>6550</v>
      </c>
      <c r="C4125" s="3" t="s">
        <v>3</v>
      </c>
      <c r="D4125" s="3" t="s">
        <v>33</v>
      </c>
      <c r="E4125" s="3" t="s">
        <v>6551</v>
      </c>
      <c r="F4125" s="4">
        <v>43900.71597222222</v>
      </c>
      <c r="G4125" s="3" t="s">
        <v>872</v>
      </c>
      <c r="H4125" s="3" t="s">
        <v>945</v>
      </c>
      <c r="I4125" s="3" t="s">
        <v>7043</v>
      </c>
      <c r="J4125" s="3"/>
      <c r="K4125" s="3"/>
      <c r="L4125" s="5"/>
    </row>
    <row r="4126" spans="1:12" ht="28.8" x14ac:dyDescent="0.55000000000000004">
      <c r="A4126" s="9" t="str">
        <f>HYPERLINK("PDF\FOIA-FWS-2020-00724-0004125.pdf","FOIA-FWS-2020-00724-0004125")</f>
        <v>FOIA-FWS-2020-00724-0004125</v>
      </c>
      <c r="B4126" s="3" t="s">
        <v>6552</v>
      </c>
      <c r="C4126" s="3" t="s">
        <v>3</v>
      </c>
      <c r="D4126" s="3" t="s">
        <v>33</v>
      </c>
      <c r="E4126" s="3" t="s">
        <v>6553</v>
      </c>
      <c r="F4126" s="4">
        <v>43900.727083333331</v>
      </c>
      <c r="G4126" s="3" t="s">
        <v>945</v>
      </c>
      <c r="H4126" s="3" t="s">
        <v>2022</v>
      </c>
      <c r="I4126" s="3" t="s">
        <v>7043</v>
      </c>
      <c r="J4126" s="3"/>
      <c r="K4126" s="3"/>
      <c r="L4126" s="5"/>
    </row>
    <row r="4127" spans="1:12" ht="28.8" x14ac:dyDescent="0.55000000000000004">
      <c r="A4127" s="9" t="str">
        <f>HYPERLINK("PDF\FOIA-FWS-2020-00724-0004126.pdf","FOIA-FWS-2020-00724-0004126")</f>
        <v>FOIA-FWS-2020-00724-0004126</v>
      </c>
      <c r="B4127" s="3" t="s">
        <v>6554</v>
      </c>
      <c r="C4127" s="3" t="s">
        <v>3</v>
      </c>
      <c r="D4127" s="3" t="s">
        <v>33</v>
      </c>
      <c r="E4127" s="3" t="s">
        <v>6555</v>
      </c>
      <c r="F4127" s="4">
        <v>43900.73541666667</v>
      </c>
      <c r="G4127" s="3" t="s">
        <v>2022</v>
      </c>
      <c r="H4127" s="3" t="s">
        <v>945</v>
      </c>
      <c r="I4127" s="3" t="s">
        <v>7043</v>
      </c>
      <c r="J4127" s="3"/>
      <c r="K4127" s="3"/>
      <c r="L4127" s="5"/>
    </row>
    <row r="4128" spans="1:12" ht="28.8" x14ac:dyDescent="0.55000000000000004">
      <c r="A4128" s="9" t="str">
        <f>HYPERLINK("PDF\FOIA-FWS-2020-00724-0004127.pdf","FOIA-FWS-2020-00724-0004127")</f>
        <v>FOIA-FWS-2020-00724-0004127</v>
      </c>
      <c r="B4128" s="3" t="s">
        <v>6556</v>
      </c>
      <c r="C4128" s="3" t="s">
        <v>3</v>
      </c>
      <c r="D4128" s="3" t="s">
        <v>33</v>
      </c>
      <c r="E4128" s="3" t="s">
        <v>6557</v>
      </c>
      <c r="F4128" s="4">
        <v>43900.776388888888</v>
      </c>
      <c r="G4128" s="3" t="s">
        <v>945</v>
      </c>
      <c r="H4128" s="3" t="s">
        <v>852</v>
      </c>
      <c r="I4128" s="3" t="s">
        <v>7043</v>
      </c>
      <c r="J4128" s="3"/>
      <c r="K4128" s="3"/>
      <c r="L4128" s="5"/>
    </row>
    <row r="4129" spans="1:12" ht="28.8" x14ac:dyDescent="0.55000000000000004">
      <c r="A4129" s="9" t="str">
        <f>HYPERLINK("PDF\FOIA-FWS-2020-00724-0004128.pdf","FOIA-FWS-2020-00724-0004128")</f>
        <v>FOIA-FWS-2020-00724-0004128</v>
      </c>
      <c r="B4129" s="3" t="s">
        <v>6556</v>
      </c>
      <c r="C4129" s="3" t="s">
        <v>234</v>
      </c>
      <c r="D4129" s="3" t="s">
        <v>33</v>
      </c>
      <c r="E4129" s="3" t="s">
        <v>6558</v>
      </c>
      <c r="F4129" s="4">
        <v>43900.776388888888</v>
      </c>
      <c r="G4129" s="3"/>
      <c r="H4129" s="3"/>
      <c r="I4129" s="3" t="s">
        <v>7043</v>
      </c>
      <c r="J4129" s="3"/>
      <c r="K4129" s="3"/>
      <c r="L4129" s="5"/>
    </row>
    <row r="4130" spans="1:12" ht="28.8" x14ac:dyDescent="0.55000000000000004">
      <c r="A4130" s="9" t="str">
        <f>HYPERLINK("PDF\FOIA-FWS-2020-00724-0004129.pdf","FOIA-FWS-2020-00724-0004129")</f>
        <v>FOIA-FWS-2020-00724-0004129</v>
      </c>
      <c r="B4130" s="3" t="s">
        <v>6559</v>
      </c>
      <c r="C4130" s="3" t="s">
        <v>3</v>
      </c>
      <c r="D4130" s="3" t="s">
        <v>33</v>
      </c>
      <c r="E4130" s="3" t="s">
        <v>6560</v>
      </c>
      <c r="F4130" s="4">
        <v>43901</v>
      </c>
      <c r="G4130" s="3"/>
      <c r="H4130" s="3"/>
      <c r="I4130" s="3" t="s">
        <v>7043</v>
      </c>
      <c r="J4130" s="3"/>
      <c r="K4130" s="3"/>
      <c r="L4130" s="5"/>
    </row>
    <row r="4131" spans="1:12" ht="28.8" x14ac:dyDescent="0.55000000000000004">
      <c r="A4131" s="9" t="str">
        <f>HYPERLINK("PDF\FOIA-FWS-2020-00724-0004130.pdf","FOIA-FWS-2020-00724-0004130")</f>
        <v>FOIA-FWS-2020-00724-0004130</v>
      </c>
      <c r="B4131" s="3" t="s">
        <v>6561</v>
      </c>
      <c r="C4131" s="3" t="s">
        <v>3</v>
      </c>
      <c r="D4131" s="3" t="s">
        <v>33</v>
      </c>
      <c r="E4131" s="3" t="s">
        <v>6562</v>
      </c>
      <c r="F4131" s="4">
        <v>43901</v>
      </c>
      <c r="G4131" s="3"/>
      <c r="H4131" s="3"/>
      <c r="I4131" s="3" t="s">
        <v>7043</v>
      </c>
      <c r="J4131" s="3"/>
      <c r="K4131" s="3"/>
      <c r="L4131" s="5"/>
    </row>
    <row r="4132" spans="1:12" ht="28.8" x14ac:dyDescent="0.55000000000000004">
      <c r="A4132" s="9" t="str">
        <f>HYPERLINK("PDF\FOIA-FWS-2020-00724-0004131.pdf","FOIA-FWS-2020-00724-0004131")</f>
        <v>FOIA-FWS-2020-00724-0004131</v>
      </c>
      <c r="B4132" s="3" t="s">
        <v>6563</v>
      </c>
      <c r="C4132" s="3" t="s">
        <v>3</v>
      </c>
      <c r="D4132" s="3" t="s">
        <v>33</v>
      </c>
      <c r="E4132" s="3" t="s">
        <v>6564</v>
      </c>
      <c r="F4132" s="4">
        <v>43901</v>
      </c>
      <c r="G4132" s="3"/>
      <c r="H4132" s="3"/>
      <c r="I4132" s="3" t="s">
        <v>7043</v>
      </c>
      <c r="J4132" s="3"/>
      <c r="K4132" s="3"/>
      <c r="L4132" s="5"/>
    </row>
    <row r="4133" spans="1:12" ht="28.8" x14ac:dyDescent="0.55000000000000004">
      <c r="A4133" s="9" t="str">
        <f>HYPERLINK("PDF\FOIA-FWS-2020-00724-0004132.pdf","FOIA-FWS-2020-00724-0004132")</f>
        <v>FOIA-FWS-2020-00724-0004132</v>
      </c>
      <c r="B4133" s="3" t="s">
        <v>6565</v>
      </c>
      <c r="C4133" s="3" t="s">
        <v>3</v>
      </c>
      <c r="D4133" s="3" t="s">
        <v>33</v>
      </c>
      <c r="E4133" s="3" t="s">
        <v>6566</v>
      </c>
      <c r="F4133" s="4">
        <v>43901</v>
      </c>
      <c r="G4133" s="3"/>
      <c r="H4133" s="3"/>
      <c r="I4133" s="3" t="s">
        <v>7043</v>
      </c>
      <c r="J4133" s="3"/>
      <c r="K4133" s="3"/>
      <c r="L4133" s="5"/>
    </row>
    <row r="4134" spans="1:12" ht="28.8" x14ac:dyDescent="0.55000000000000004">
      <c r="A4134" s="9" t="str">
        <f>HYPERLINK("PDF\FOIA-FWS-2020-00724-0004133.pdf","FOIA-FWS-2020-00724-0004133")</f>
        <v>FOIA-FWS-2020-00724-0004133</v>
      </c>
      <c r="B4134" s="3" t="s">
        <v>6567</v>
      </c>
      <c r="C4134" s="3" t="s">
        <v>3</v>
      </c>
      <c r="D4134" s="3" t="s">
        <v>33</v>
      </c>
      <c r="E4134" s="3" t="s">
        <v>6568</v>
      </c>
      <c r="F4134" s="4">
        <v>43901</v>
      </c>
      <c r="G4134" s="3"/>
      <c r="H4134" s="3"/>
      <c r="I4134" s="3" t="s">
        <v>7043</v>
      </c>
      <c r="J4134" s="3"/>
      <c r="K4134" s="3"/>
      <c r="L4134" s="5"/>
    </row>
    <row r="4135" spans="1:12" ht="28.8" x14ac:dyDescent="0.55000000000000004">
      <c r="A4135" s="9" t="str">
        <f>HYPERLINK("PDF\FOIA-FWS-2020-00724-0004134.pdf","FOIA-FWS-2020-00724-0004134")</f>
        <v>FOIA-FWS-2020-00724-0004134</v>
      </c>
      <c r="B4135" s="3" t="s">
        <v>6569</v>
      </c>
      <c r="C4135" s="3" t="s">
        <v>3</v>
      </c>
      <c r="D4135" s="3" t="s">
        <v>33</v>
      </c>
      <c r="E4135" s="3" t="s">
        <v>6570</v>
      </c>
      <c r="F4135" s="4">
        <v>43901</v>
      </c>
      <c r="G4135" s="3"/>
      <c r="H4135" s="3"/>
      <c r="I4135" s="3" t="s">
        <v>7043</v>
      </c>
      <c r="J4135" s="3"/>
      <c r="K4135" s="3"/>
      <c r="L4135" s="5"/>
    </row>
    <row r="4136" spans="1:12" ht="28.8" x14ac:dyDescent="0.55000000000000004">
      <c r="A4136" s="9" t="str">
        <f>HYPERLINK("PDF\FOIA-FWS-2020-00724-0004135.pdf","FOIA-FWS-2020-00724-0004135")</f>
        <v>FOIA-FWS-2020-00724-0004135</v>
      </c>
      <c r="B4136" s="3" t="s">
        <v>6571</v>
      </c>
      <c r="C4136" s="3" t="s">
        <v>3</v>
      </c>
      <c r="D4136" s="3" t="s">
        <v>33</v>
      </c>
      <c r="E4136" s="3" t="s">
        <v>6572</v>
      </c>
      <c r="F4136" s="4">
        <v>43901</v>
      </c>
      <c r="G4136" s="3"/>
      <c r="H4136" s="3"/>
      <c r="I4136" s="3" t="s">
        <v>7043</v>
      </c>
      <c r="J4136" s="3"/>
      <c r="K4136" s="3"/>
      <c r="L4136" s="5"/>
    </row>
    <row r="4137" spans="1:12" ht="28.8" x14ac:dyDescent="0.55000000000000004">
      <c r="A4137" s="9" t="str">
        <f>HYPERLINK("PDF\FOIA-FWS-2020-00724-0004136.pdf","FOIA-FWS-2020-00724-0004136")</f>
        <v>FOIA-FWS-2020-00724-0004136</v>
      </c>
      <c r="B4137" s="3" t="s">
        <v>6573</v>
      </c>
      <c r="C4137" s="3" t="s">
        <v>3</v>
      </c>
      <c r="D4137" s="3" t="s">
        <v>33</v>
      </c>
      <c r="E4137" s="3" t="s">
        <v>6574</v>
      </c>
      <c r="F4137" s="4">
        <v>43901</v>
      </c>
      <c r="G4137" s="3"/>
      <c r="H4137" s="3"/>
      <c r="I4137" s="3" t="s">
        <v>7043</v>
      </c>
      <c r="J4137" s="3"/>
      <c r="K4137" s="3"/>
      <c r="L4137" s="5"/>
    </row>
    <row r="4138" spans="1:12" ht="28.8" x14ac:dyDescent="0.55000000000000004">
      <c r="A4138" s="9" t="str">
        <f>HYPERLINK("PDF\FOIA-FWS-2020-00724-0004137.pdf","FOIA-FWS-2020-00724-0004137")</f>
        <v>FOIA-FWS-2020-00724-0004137</v>
      </c>
      <c r="B4138" s="3" t="s">
        <v>6575</v>
      </c>
      <c r="C4138" s="3" t="s">
        <v>3</v>
      </c>
      <c r="D4138" s="3" t="s">
        <v>33</v>
      </c>
      <c r="E4138" s="3" t="s">
        <v>6576</v>
      </c>
      <c r="F4138" s="4">
        <v>43901</v>
      </c>
      <c r="G4138" s="3"/>
      <c r="H4138" s="3"/>
      <c r="I4138" s="3" t="s">
        <v>7043</v>
      </c>
      <c r="J4138" s="3"/>
      <c r="K4138" s="3"/>
      <c r="L4138" s="5"/>
    </row>
    <row r="4139" spans="1:12" ht="28.8" x14ac:dyDescent="0.55000000000000004">
      <c r="A4139" s="9" t="str">
        <f>HYPERLINK("PDF\FOIA-FWS-2020-00724-0004138.pdf","FOIA-FWS-2020-00724-0004138")</f>
        <v>FOIA-FWS-2020-00724-0004138</v>
      </c>
      <c r="B4139" s="3" t="s">
        <v>6577</v>
      </c>
      <c r="C4139" s="3" t="s">
        <v>3</v>
      </c>
      <c r="D4139" s="3" t="s">
        <v>33</v>
      </c>
      <c r="E4139" s="3" t="s">
        <v>6578</v>
      </c>
      <c r="F4139" s="4">
        <v>43901</v>
      </c>
      <c r="G4139" s="3"/>
      <c r="H4139" s="3"/>
      <c r="I4139" s="3" t="s">
        <v>7043</v>
      </c>
      <c r="J4139" s="3"/>
      <c r="K4139" s="3"/>
      <c r="L4139" s="5"/>
    </row>
    <row r="4140" spans="1:12" ht="28.8" x14ac:dyDescent="0.55000000000000004">
      <c r="A4140" s="9" t="str">
        <f>HYPERLINK("PDF\FOIA-FWS-2020-00724-0004139.pdf","FOIA-FWS-2020-00724-0004139")</f>
        <v>FOIA-FWS-2020-00724-0004139</v>
      </c>
      <c r="B4140" s="3" t="s">
        <v>6579</v>
      </c>
      <c r="C4140" s="3" t="s">
        <v>3</v>
      </c>
      <c r="D4140" s="3" t="s">
        <v>33</v>
      </c>
      <c r="E4140" s="3" t="s">
        <v>6580</v>
      </c>
      <c r="F4140" s="4">
        <v>43901.524305555555</v>
      </c>
      <c r="G4140" s="3" t="s">
        <v>5800</v>
      </c>
      <c r="H4140" s="3" t="s">
        <v>1135</v>
      </c>
      <c r="I4140" s="3" t="s">
        <v>7043</v>
      </c>
      <c r="J4140" s="3"/>
      <c r="K4140" s="3"/>
      <c r="L4140" s="5"/>
    </row>
    <row r="4141" spans="1:12" ht="28.8" x14ac:dyDescent="0.55000000000000004">
      <c r="A4141" s="9" t="str">
        <f>HYPERLINK("PDF\FOIA-FWS-2020-00724-0004140.pdf","FOIA-FWS-2020-00724-0004140")</f>
        <v>FOIA-FWS-2020-00724-0004140</v>
      </c>
      <c r="B4141" s="3" t="s">
        <v>6579</v>
      </c>
      <c r="C4141" s="3" t="s">
        <v>234</v>
      </c>
      <c r="D4141" s="3" t="s">
        <v>33</v>
      </c>
      <c r="E4141" s="3" t="s">
        <v>6581</v>
      </c>
      <c r="F4141" s="4">
        <v>43901.524305555555</v>
      </c>
      <c r="G4141" s="3"/>
      <c r="H4141" s="3"/>
      <c r="I4141" s="3" t="s">
        <v>7043</v>
      </c>
      <c r="J4141" s="3"/>
      <c r="K4141" s="3"/>
      <c r="L4141" s="5"/>
    </row>
    <row r="4142" spans="1:12" ht="28.8" x14ac:dyDescent="0.55000000000000004">
      <c r="A4142" s="9" t="str">
        <f>HYPERLINK("PDF\FOIA-FWS-2020-00724-0004141.pdf","FOIA-FWS-2020-00724-0004141")</f>
        <v>FOIA-FWS-2020-00724-0004141</v>
      </c>
      <c r="B4142" s="3" t="s">
        <v>6582</v>
      </c>
      <c r="C4142" s="3" t="s">
        <v>3</v>
      </c>
      <c r="D4142" s="3" t="s">
        <v>33</v>
      </c>
      <c r="E4142" s="3" t="s">
        <v>6583</v>
      </c>
      <c r="F4142" s="4">
        <v>43901.570833333331</v>
      </c>
      <c r="G4142" s="3" t="s">
        <v>872</v>
      </c>
      <c r="H4142" s="3" t="s">
        <v>1119</v>
      </c>
      <c r="I4142" s="3" t="s">
        <v>7043</v>
      </c>
      <c r="J4142" s="3"/>
      <c r="K4142" s="3"/>
      <c r="L4142" s="5"/>
    </row>
    <row r="4143" spans="1:12" ht="28.8" x14ac:dyDescent="0.55000000000000004">
      <c r="A4143" s="9" t="str">
        <f>HYPERLINK("PDF\FOIA-FWS-2020-00724-0004142.pdf","FOIA-FWS-2020-00724-0004142")</f>
        <v>FOIA-FWS-2020-00724-0004142</v>
      </c>
      <c r="B4143" s="3" t="s">
        <v>6584</v>
      </c>
      <c r="C4143" s="3" t="s">
        <v>3</v>
      </c>
      <c r="D4143" s="3" t="s">
        <v>33</v>
      </c>
      <c r="E4143" s="3" t="s">
        <v>6586</v>
      </c>
      <c r="F4143" s="4">
        <v>43901.574999999997</v>
      </c>
      <c r="G4143" s="3" t="s">
        <v>2022</v>
      </c>
      <c r="H4143" s="3" t="s">
        <v>6585</v>
      </c>
      <c r="I4143" s="3" t="s">
        <v>7043</v>
      </c>
      <c r="J4143" s="3"/>
      <c r="K4143" s="3"/>
      <c r="L4143" s="5"/>
    </row>
    <row r="4144" spans="1:12" ht="28.8" x14ac:dyDescent="0.55000000000000004">
      <c r="A4144" s="9" t="str">
        <f>HYPERLINK("PDF\FOIA-FWS-2020-00724-0004143.pdf","FOIA-FWS-2020-00724-0004143")</f>
        <v>FOIA-FWS-2020-00724-0004143</v>
      </c>
      <c r="B4144" s="3" t="s">
        <v>6587</v>
      </c>
      <c r="C4144" s="3" t="s">
        <v>3</v>
      </c>
      <c r="D4144" s="3" t="s">
        <v>33</v>
      </c>
      <c r="E4144" s="3" t="s">
        <v>6588</v>
      </c>
      <c r="F4144" s="4">
        <v>43901.589583333334</v>
      </c>
      <c r="G4144" s="3" t="s">
        <v>1963</v>
      </c>
      <c r="H4144" s="3" t="s">
        <v>2022</v>
      </c>
      <c r="I4144" s="3" t="s">
        <v>7043</v>
      </c>
      <c r="J4144" s="3"/>
      <c r="K4144" s="3"/>
      <c r="L4144" s="5"/>
    </row>
    <row r="4145" spans="1:12" ht="28.8" x14ac:dyDescent="0.55000000000000004">
      <c r="A4145" s="9" t="str">
        <f>HYPERLINK("PDF\FOIA-FWS-2020-00724-0004144.pdf","FOIA-FWS-2020-00724-0004144")</f>
        <v>FOIA-FWS-2020-00724-0004144</v>
      </c>
      <c r="B4145" s="3" t="s">
        <v>6587</v>
      </c>
      <c r="C4145" s="3" t="s">
        <v>234</v>
      </c>
      <c r="D4145" s="3" t="s">
        <v>33</v>
      </c>
      <c r="E4145" s="3" t="s">
        <v>6549</v>
      </c>
      <c r="F4145" s="4">
        <v>43901.589583333334</v>
      </c>
      <c r="G4145" s="3"/>
      <c r="H4145" s="3"/>
      <c r="I4145" s="3" t="s">
        <v>7043</v>
      </c>
      <c r="J4145" s="3"/>
      <c r="K4145" s="3"/>
      <c r="L4145" s="5" t="str">
        <f>HYPERLINK("NATIVE_FILES\FOIA-FWS-2020-00724-0004144.xlsx","FOIA-FWS-2020-00724-0004144.xlsx")</f>
        <v>FOIA-FWS-2020-00724-0004144.xlsx</v>
      </c>
    </row>
    <row r="4146" spans="1:12" ht="28.8" x14ac:dyDescent="0.55000000000000004">
      <c r="A4146" s="9" t="str">
        <f>HYPERLINK("PDF\FOIA-FWS-2020-00724-0004145.pdf","FOIA-FWS-2020-00724-0004145")</f>
        <v>FOIA-FWS-2020-00724-0004145</v>
      </c>
      <c r="B4146" s="3" t="s">
        <v>6589</v>
      </c>
      <c r="C4146" s="3" t="s">
        <v>3</v>
      </c>
      <c r="D4146" s="3" t="s">
        <v>33</v>
      </c>
      <c r="E4146" s="3" t="s">
        <v>6590</v>
      </c>
      <c r="F4146" s="4">
        <v>43901.592361111114</v>
      </c>
      <c r="G4146" s="3" t="s">
        <v>963</v>
      </c>
      <c r="H4146" s="3" t="s">
        <v>872</v>
      </c>
      <c r="I4146" s="3" t="s">
        <v>7043</v>
      </c>
      <c r="J4146" s="3"/>
      <c r="K4146" s="3"/>
      <c r="L4146" s="5"/>
    </row>
    <row r="4147" spans="1:12" ht="28.8" x14ac:dyDescent="0.55000000000000004">
      <c r="A4147" s="9" t="str">
        <f>HYPERLINK("PDF\FOIA-FWS-2020-00724-0004146.pdf","FOIA-FWS-2020-00724-0004146")</f>
        <v>FOIA-FWS-2020-00724-0004146</v>
      </c>
      <c r="B4147" s="3" t="s">
        <v>6591</v>
      </c>
      <c r="C4147" s="3" t="s">
        <v>3</v>
      </c>
      <c r="D4147" s="3" t="s">
        <v>33</v>
      </c>
      <c r="E4147" s="3" t="s">
        <v>6588</v>
      </c>
      <c r="F4147" s="4">
        <v>43901.597222222219</v>
      </c>
      <c r="G4147" s="3" t="s">
        <v>1963</v>
      </c>
      <c r="H4147" s="3" t="s">
        <v>1119</v>
      </c>
      <c r="I4147" s="3" t="s">
        <v>7043</v>
      </c>
      <c r="J4147" s="3"/>
      <c r="K4147" s="3"/>
      <c r="L4147" s="5"/>
    </row>
    <row r="4148" spans="1:12" ht="28.8" x14ac:dyDescent="0.55000000000000004">
      <c r="A4148" s="9" t="str">
        <f>HYPERLINK("PDF\FOIA-FWS-2020-00724-0004147.pdf","FOIA-FWS-2020-00724-0004147")</f>
        <v>FOIA-FWS-2020-00724-0004147</v>
      </c>
      <c r="B4148" s="3" t="s">
        <v>6591</v>
      </c>
      <c r="C4148" s="3" t="s">
        <v>234</v>
      </c>
      <c r="D4148" s="3" t="s">
        <v>33</v>
      </c>
      <c r="E4148" s="3" t="s">
        <v>6549</v>
      </c>
      <c r="F4148" s="4">
        <v>43901.597222222219</v>
      </c>
      <c r="G4148" s="3"/>
      <c r="H4148" s="3"/>
      <c r="I4148" s="3" t="s">
        <v>7043</v>
      </c>
      <c r="J4148" s="3"/>
      <c r="K4148" s="3"/>
      <c r="L4148" s="5" t="str">
        <f>HYPERLINK("NATIVE_FILES\FOIA-FWS-2020-00724-0004147.xlsx","FOIA-FWS-2020-00724-0004147.xlsx")</f>
        <v>FOIA-FWS-2020-00724-0004147.xlsx</v>
      </c>
    </row>
    <row r="4149" spans="1:12" ht="28.8" x14ac:dyDescent="0.55000000000000004">
      <c r="A4149" s="9" t="str">
        <f>HYPERLINK("PDF\FOIA-FWS-2020-00724-0004148.pdf","FOIA-FWS-2020-00724-0004148")</f>
        <v>FOIA-FWS-2020-00724-0004148</v>
      </c>
      <c r="B4149" s="3" t="s">
        <v>6592</v>
      </c>
      <c r="C4149" s="3" t="s">
        <v>3</v>
      </c>
      <c r="D4149" s="3" t="s">
        <v>33</v>
      </c>
      <c r="E4149" s="3" t="s">
        <v>6594</v>
      </c>
      <c r="F4149" s="4">
        <v>43901.603472222225</v>
      </c>
      <c r="G4149" s="3" t="s">
        <v>1119</v>
      </c>
      <c r="H4149" s="3" t="s">
        <v>6593</v>
      </c>
      <c r="I4149" s="3" t="s">
        <v>7043</v>
      </c>
      <c r="J4149" s="3"/>
      <c r="K4149" s="3"/>
      <c r="L4149" s="5"/>
    </row>
    <row r="4150" spans="1:12" ht="28.8" x14ac:dyDescent="0.55000000000000004">
      <c r="A4150" s="9" t="str">
        <f>HYPERLINK("PDF\FOIA-FWS-2020-00724-0004149.pdf","FOIA-FWS-2020-00724-0004149")</f>
        <v>FOIA-FWS-2020-00724-0004149</v>
      </c>
      <c r="B4150" s="3" t="s">
        <v>6595</v>
      </c>
      <c r="C4150" s="3" t="s">
        <v>3</v>
      </c>
      <c r="D4150" s="3" t="s">
        <v>33</v>
      </c>
      <c r="E4150" s="3" t="s">
        <v>6597</v>
      </c>
      <c r="F4150" s="4">
        <v>43901.640277777777</v>
      </c>
      <c r="G4150" s="3" t="s">
        <v>945</v>
      </c>
      <c r="H4150" s="3" t="s">
        <v>6596</v>
      </c>
      <c r="I4150" s="3" t="s">
        <v>7043</v>
      </c>
      <c r="J4150" s="3"/>
      <c r="K4150" s="3"/>
      <c r="L4150" s="5"/>
    </row>
    <row r="4151" spans="1:12" ht="28.8" x14ac:dyDescent="0.55000000000000004">
      <c r="A4151" s="9" t="str">
        <f>HYPERLINK("PDF\FOIA-FWS-2020-00724-0004150.pdf","FOIA-FWS-2020-00724-0004150")</f>
        <v>FOIA-FWS-2020-00724-0004150</v>
      </c>
      <c r="B4151" s="3" t="s">
        <v>6595</v>
      </c>
      <c r="C4151" s="3" t="s">
        <v>234</v>
      </c>
      <c r="D4151" s="3" t="s">
        <v>33</v>
      </c>
      <c r="E4151" s="3" t="s">
        <v>6598</v>
      </c>
      <c r="F4151" s="4">
        <v>43901.640277777777</v>
      </c>
      <c r="G4151" s="3"/>
      <c r="H4151" s="3"/>
      <c r="I4151" s="3" t="s">
        <v>7043</v>
      </c>
      <c r="J4151" s="3"/>
      <c r="K4151" s="3"/>
      <c r="L4151" s="5"/>
    </row>
    <row r="4152" spans="1:12" ht="28.8" x14ac:dyDescent="0.55000000000000004">
      <c r="A4152" s="9" t="str">
        <f>HYPERLINK("PDF\FOIA-FWS-2020-00724-0004151.pdf","FOIA-FWS-2020-00724-0004151")</f>
        <v>FOIA-FWS-2020-00724-0004151</v>
      </c>
      <c r="B4152" s="3" t="s">
        <v>6599</v>
      </c>
      <c r="C4152" s="3" t="s">
        <v>3</v>
      </c>
      <c r="D4152" s="3" t="s">
        <v>33</v>
      </c>
      <c r="E4152" s="3" t="s">
        <v>6600</v>
      </c>
      <c r="F4152" s="4">
        <v>43901.643750000003</v>
      </c>
      <c r="G4152" s="3" t="s">
        <v>945</v>
      </c>
      <c r="H4152" s="3" t="s">
        <v>4043</v>
      </c>
      <c r="I4152" s="3" t="s">
        <v>7043</v>
      </c>
      <c r="J4152" s="3"/>
      <c r="K4152" s="3"/>
      <c r="L4152" s="5"/>
    </row>
    <row r="4153" spans="1:12" ht="28.8" x14ac:dyDescent="0.55000000000000004">
      <c r="A4153" s="9" t="str">
        <f>HYPERLINK("PDF\FOIA-FWS-2020-00724-0004152.pdf","FOIA-FWS-2020-00724-0004152")</f>
        <v>FOIA-FWS-2020-00724-0004152</v>
      </c>
      <c r="B4153" s="3" t="s">
        <v>6599</v>
      </c>
      <c r="C4153" s="3" t="s">
        <v>234</v>
      </c>
      <c r="D4153" s="3" t="s">
        <v>33</v>
      </c>
      <c r="E4153" s="3" t="s">
        <v>6598</v>
      </c>
      <c r="F4153" s="4">
        <v>43901.643750000003</v>
      </c>
      <c r="G4153" s="3"/>
      <c r="H4153" s="3"/>
      <c r="I4153" s="3" t="s">
        <v>7043</v>
      </c>
      <c r="J4153" s="3"/>
      <c r="K4153" s="3"/>
      <c r="L4153" s="5"/>
    </row>
    <row r="4154" spans="1:12" ht="28.8" x14ac:dyDescent="0.55000000000000004">
      <c r="A4154" s="9" t="str">
        <f>HYPERLINK("PDF\FOIA-FWS-2020-00724-0004153.pdf","FOIA-FWS-2020-00724-0004153")</f>
        <v>FOIA-FWS-2020-00724-0004153</v>
      </c>
      <c r="B4154" s="3" t="s">
        <v>6601</v>
      </c>
      <c r="C4154" s="3" t="s">
        <v>3</v>
      </c>
      <c r="D4154" s="3" t="s">
        <v>33</v>
      </c>
      <c r="E4154" s="3" t="s">
        <v>6603</v>
      </c>
      <c r="F4154" s="4">
        <v>43901.644444444442</v>
      </c>
      <c r="G4154" s="3" t="s">
        <v>5800</v>
      </c>
      <c r="H4154" s="3" t="s">
        <v>6602</v>
      </c>
      <c r="I4154" s="3" t="s">
        <v>7043</v>
      </c>
      <c r="J4154" s="3"/>
      <c r="K4154" s="3"/>
      <c r="L4154" s="5"/>
    </row>
    <row r="4155" spans="1:12" ht="28.8" x14ac:dyDescent="0.55000000000000004">
      <c r="A4155" s="9" t="str">
        <f>HYPERLINK("PDF\FOIA-FWS-2020-00724-0004154.pdf","FOIA-FWS-2020-00724-0004154")</f>
        <v>FOIA-FWS-2020-00724-0004154</v>
      </c>
      <c r="B4155" s="3" t="s">
        <v>6601</v>
      </c>
      <c r="C4155" s="3" t="s">
        <v>234</v>
      </c>
      <c r="D4155" s="3" t="s">
        <v>33</v>
      </c>
      <c r="E4155" s="3" t="s">
        <v>6598</v>
      </c>
      <c r="F4155" s="4">
        <v>43901.644444444442</v>
      </c>
      <c r="G4155" s="3"/>
      <c r="H4155" s="3"/>
      <c r="I4155" s="3" t="s">
        <v>7043</v>
      </c>
      <c r="J4155" s="3"/>
      <c r="K4155" s="3"/>
      <c r="L4155" s="5"/>
    </row>
    <row r="4156" spans="1:12" ht="28.8" x14ac:dyDescent="0.55000000000000004">
      <c r="A4156" s="9" t="str">
        <f>HYPERLINK("PDF\FOIA-FWS-2020-00724-0004155.pdf","FOIA-FWS-2020-00724-0004155")</f>
        <v>FOIA-FWS-2020-00724-0004155</v>
      </c>
      <c r="B4156" s="3" t="s">
        <v>6604</v>
      </c>
      <c r="C4156" s="3" t="s">
        <v>3</v>
      </c>
      <c r="D4156" s="3" t="s">
        <v>33</v>
      </c>
      <c r="E4156" s="3" t="s">
        <v>6606</v>
      </c>
      <c r="F4156" s="4">
        <v>43901.65</v>
      </c>
      <c r="G4156" s="3" t="s">
        <v>1012</v>
      </c>
      <c r="H4156" s="3" t="s">
        <v>6605</v>
      </c>
      <c r="I4156" s="3" t="s">
        <v>7043</v>
      </c>
      <c r="J4156" s="3"/>
      <c r="K4156" s="3"/>
      <c r="L4156" s="5"/>
    </row>
    <row r="4157" spans="1:12" ht="28.8" x14ac:dyDescent="0.55000000000000004">
      <c r="A4157" s="9" t="str">
        <f>HYPERLINK("PDF\FOIA-FWS-2020-00724-0004156.pdf","FOIA-FWS-2020-00724-0004156")</f>
        <v>FOIA-FWS-2020-00724-0004156</v>
      </c>
      <c r="B4157" s="3" t="s">
        <v>6604</v>
      </c>
      <c r="C4157" s="3" t="s">
        <v>234</v>
      </c>
      <c r="D4157" s="3" t="s">
        <v>33</v>
      </c>
      <c r="E4157" s="3" t="s">
        <v>6607</v>
      </c>
      <c r="F4157" s="4">
        <v>43901.65</v>
      </c>
      <c r="G4157" s="3"/>
      <c r="H4157" s="3"/>
      <c r="I4157" s="3" t="s">
        <v>7043</v>
      </c>
      <c r="J4157" s="3"/>
      <c r="K4157" s="3"/>
      <c r="L4157" s="5"/>
    </row>
    <row r="4158" spans="1:12" ht="28.8" x14ac:dyDescent="0.55000000000000004">
      <c r="A4158" s="9" t="str">
        <f>HYPERLINK("PDF\FOIA-FWS-2020-00724-0004157.pdf","FOIA-FWS-2020-00724-0004157")</f>
        <v>FOIA-FWS-2020-00724-0004157</v>
      </c>
      <c r="B4158" s="3" t="s">
        <v>6604</v>
      </c>
      <c r="C4158" s="3" t="s">
        <v>234</v>
      </c>
      <c r="D4158" s="3" t="s">
        <v>33</v>
      </c>
      <c r="E4158" s="3" t="s">
        <v>6608</v>
      </c>
      <c r="F4158" s="4">
        <v>43901.65</v>
      </c>
      <c r="G4158" s="3"/>
      <c r="H4158" s="3"/>
      <c r="I4158" s="3" t="s">
        <v>7043</v>
      </c>
      <c r="J4158" s="3"/>
      <c r="K4158" s="3"/>
      <c r="L4158" s="5"/>
    </row>
    <row r="4159" spans="1:12" ht="28.8" x14ac:dyDescent="0.55000000000000004">
      <c r="A4159" s="9" t="str">
        <f>HYPERLINK("PDF\FOIA-FWS-2020-00724-0004158.pdf","FOIA-FWS-2020-00724-0004158")</f>
        <v>FOIA-FWS-2020-00724-0004158</v>
      </c>
      <c r="B4159" s="3" t="s">
        <v>6609</v>
      </c>
      <c r="C4159" s="3" t="s">
        <v>3</v>
      </c>
      <c r="D4159" s="3" t="s">
        <v>33</v>
      </c>
      <c r="E4159" s="3" t="s">
        <v>6610</v>
      </c>
      <c r="F4159" s="4">
        <v>43901.650694444441</v>
      </c>
      <c r="G4159" s="3" t="s">
        <v>945</v>
      </c>
      <c r="H4159" s="3" t="s">
        <v>852</v>
      </c>
      <c r="I4159" s="3" t="s">
        <v>7043</v>
      </c>
      <c r="J4159" s="3"/>
      <c r="K4159" s="3"/>
      <c r="L4159" s="5"/>
    </row>
    <row r="4160" spans="1:12" ht="28.8" x14ac:dyDescent="0.55000000000000004">
      <c r="A4160" s="9" t="str">
        <f>HYPERLINK("PDF\FOIA-FWS-2020-00724-0004159.pdf","FOIA-FWS-2020-00724-0004159")</f>
        <v>FOIA-FWS-2020-00724-0004159</v>
      </c>
      <c r="B4160" s="3" t="s">
        <v>6609</v>
      </c>
      <c r="C4160" s="3" t="s">
        <v>234</v>
      </c>
      <c r="D4160" s="3" t="s">
        <v>33</v>
      </c>
      <c r="E4160" s="3" t="s">
        <v>6598</v>
      </c>
      <c r="F4160" s="4">
        <v>43901.650694444441</v>
      </c>
      <c r="G4160" s="3"/>
      <c r="H4160" s="3"/>
      <c r="I4160" s="3" t="s">
        <v>7043</v>
      </c>
      <c r="J4160" s="3"/>
      <c r="K4160" s="3"/>
      <c r="L4160" s="5"/>
    </row>
    <row r="4161" spans="1:12" ht="28.8" x14ac:dyDescent="0.55000000000000004">
      <c r="A4161" s="9" t="str">
        <f>HYPERLINK("PDF\FOIA-FWS-2020-00724-0004160.pdf","FOIA-FWS-2020-00724-0004160")</f>
        <v>FOIA-FWS-2020-00724-0004160</v>
      </c>
      <c r="B4161" s="3" t="s">
        <v>6611</v>
      </c>
      <c r="C4161" s="3" t="s">
        <v>3</v>
      </c>
      <c r="D4161" s="3" t="s">
        <v>33</v>
      </c>
      <c r="E4161" s="3" t="s">
        <v>6612</v>
      </c>
      <c r="F4161" s="4">
        <v>43901.65902777778</v>
      </c>
      <c r="G4161" s="3" t="s">
        <v>1119</v>
      </c>
      <c r="H4161" s="3" t="s">
        <v>1963</v>
      </c>
      <c r="I4161" s="3" t="s">
        <v>7043</v>
      </c>
      <c r="J4161" s="3"/>
      <c r="K4161" s="3"/>
      <c r="L4161" s="5"/>
    </row>
    <row r="4162" spans="1:12" ht="28.8" x14ac:dyDescent="0.55000000000000004">
      <c r="A4162" s="9" t="str">
        <f>HYPERLINK("PDF\FOIA-FWS-2020-00724-0004161.pdf","FOIA-FWS-2020-00724-0004161")</f>
        <v>FOIA-FWS-2020-00724-0004161</v>
      </c>
      <c r="B4162" s="3" t="s">
        <v>6611</v>
      </c>
      <c r="C4162" s="3" t="s">
        <v>234</v>
      </c>
      <c r="D4162" s="3" t="s">
        <v>160</v>
      </c>
      <c r="E4162" s="3" t="s">
        <v>6613</v>
      </c>
      <c r="F4162" s="4">
        <v>43901.65902777778</v>
      </c>
      <c r="G4162" s="3"/>
      <c r="H4162" s="3"/>
      <c r="I4162" s="3" t="s">
        <v>7043</v>
      </c>
      <c r="J4162" s="3"/>
      <c r="K4162" s="3"/>
      <c r="L4162" s="5" t="str">
        <f>HYPERLINK("NATIVE_FILES\FOIA-FWS-2020-00724-0004161.dbf","FOIA-FWS-2020-00724-0004161.dbf")</f>
        <v>FOIA-FWS-2020-00724-0004161.dbf</v>
      </c>
    </row>
    <row r="4163" spans="1:12" ht="28.8" x14ac:dyDescent="0.55000000000000004">
      <c r="A4163" s="9" t="str">
        <f>HYPERLINK("PDF\FOIA-FWS-2020-00724-0004162.pdf","FOIA-FWS-2020-00724-0004162")</f>
        <v>FOIA-FWS-2020-00724-0004162</v>
      </c>
      <c r="B4163" s="3" t="s">
        <v>6611</v>
      </c>
      <c r="C4163" s="3" t="s">
        <v>234</v>
      </c>
      <c r="D4163" s="3" t="s">
        <v>160</v>
      </c>
      <c r="E4163" s="3" t="s">
        <v>6614</v>
      </c>
      <c r="F4163" s="4">
        <v>43901.65902777778</v>
      </c>
      <c r="G4163" s="3"/>
      <c r="H4163" s="3"/>
      <c r="I4163" s="3" t="s">
        <v>7043</v>
      </c>
      <c r="J4163" s="3"/>
      <c r="K4163" s="3"/>
      <c r="L4163" s="5" t="str">
        <f>HYPERLINK("NATIVE_FILES\FOIA-FWS-2020-00724-0004162.prj","FOIA-FWS-2020-00724-0004162.prj")</f>
        <v>FOIA-FWS-2020-00724-0004162.prj</v>
      </c>
    </row>
    <row r="4164" spans="1:12" ht="28.8" x14ac:dyDescent="0.55000000000000004">
      <c r="A4164" s="9" t="str">
        <f>HYPERLINK("PDF\FOIA-FWS-2020-00724-0004163.pdf","FOIA-FWS-2020-00724-0004163")</f>
        <v>FOIA-FWS-2020-00724-0004163</v>
      </c>
      <c r="B4164" s="3" t="s">
        <v>6611</v>
      </c>
      <c r="C4164" s="3" t="s">
        <v>234</v>
      </c>
      <c r="D4164" s="3" t="s">
        <v>160</v>
      </c>
      <c r="E4164" s="3" t="s">
        <v>6615</v>
      </c>
      <c r="F4164" s="4">
        <v>43901.65902777778</v>
      </c>
      <c r="G4164" s="3"/>
      <c r="H4164" s="3"/>
      <c r="I4164" s="3" t="s">
        <v>7043</v>
      </c>
      <c r="J4164" s="3"/>
      <c r="K4164" s="3"/>
      <c r="L4164" s="5" t="str">
        <f>HYPERLINK("NATIVE_FILES\FOIA-FWS-2020-00724-0004163.sbn","FOIA-FWS-2020-00724-0004163.sbn")</f>
        <v>FOIA-FWS-2020-00724-0004163.sbn</v>
      </c>
    </row>
    <row r="4165" spans="1:12" ht="28.8" x14ac:dyDescent="0.55000000000000004">
      <c r="A4165" s="9" t="str">
        <f>HYPERLINK("PDF\FOIA-FWS-2020-00724-0004164.pdf","FOIA-FWS-2020-00724-0004164")</f>
        <v>FOIA-FWS-2020-00724-0004164</v>
      </c>
      <c r="B4165" s="3" t="s">
        <v>6611</v>
      </c>
      <c r="C4165" s="3" t="s">
        <v>234</v>
      </c>
      <c r="D4165" s="3" t="s">
        <v>160</v>
      </c>
      <c r="E4165" s="3" t="s">
        <v>6616</v>
      </c>
      <c r="F4165" s="4">
        <v>43901.65902777778</v>
      </c>
      <c r="G4165" s="3"/>
      <c r="H4165" s="3"/>
      <c r="I4165" s="3" t="s">
        <v>7043</v>
      </c>
      <c r="J4165" s="3"/>
      <c r="K4165" s="3"/>
      <c r="L4165" s="5" t="str">
        <f>HYPERLINK("NATIVE_FILES\FOIA-FWS-2020-00724-0004164.sbx","FOIA-FWS-2020-00724-0004164.sbx")</f>
        <v>FOIA-FWS-2020-00724-0004164.sbx</v>
      </c>
    </row>
    <row r="4166" spans="1:12" ht="28.8" x14ac:dyDescent="0.55000000000000004">
      <c r="A4166" s="9" t="str">
        <f>HYPERLINK("PDF\FOIA-FWS-2020-00724-0004165.pdf","FOIA-FWS-2020-00724-0004165")</f>
        <v>FOIA-FWS-2020-00724-0004165</v>
      </c>
      <c r="B4166" s="3" t="s">
        <v>6611</v>
      </c>
      <c r="C4166" s="3" t="s">
        <v>234</v>
      </c>
      <c r="D4166" s="3" t="s">
        <v>160</v>
      </c>
      <c r="E4166" s="3" t="s">
        <v>6617</v>
      </c>
      <c r="F4166" s="4">
        <v>43901.65902777778</v>
      </c>
      <c r="G4166" s="3"/>
      <c r="H4166" s="3"/>
      <c r="I4166" s="3" t="s">
        <v>7043</v>
      </c>
      <c r="J4166" s="3"/>
      <c r="K4166" s="3"/>
      <c r="L4166" s="5" t="str">
        <f>HYPERLINK("NATIVE_FILES\FOIA-FWS-2020-00724-0004165.shp","FOIA-FWS-2020-00724-0004165.shp")</f>
        <v>FOIA-FWS-2020-00724-0004165.shp</v>
      </c>
    </row>
    <row r="4167" spans="1:12" ht="28.8" x14ac:dyDescent="0.55000000000000004">
      <c r="A4167" s="9" t="str">
        <f>HYPERLINK("PDF\FOIA-FWS-2020-00724-0004166.pdf","FOIA-FWS-2020-00724-0004166")</f>
        <v>FOIA-FWS-2020-00724-0004166</v>
      </c>
      <c r="B4167" s="3" t="s">
        <v>6611</v>
      </c>
      <c r="C4167" s="3" t="s">
        <v>234</v>
      </c>
      <c r="D4167" s="3" t="s">
        <v>160</v>
      </c>
      <c r="E4167" s="3" t="s">
        <v>6618</v>
      </c>
      <c r="F4167" s="4">
        <v>43901.65902777778</v>
      </c>
      <c r="G4167" s="3"/>
      <c r="H4167" s="3"/>
      <c r="I4167" s="3" t="s">
        <v>7043</v>
      </c>
      <c r="J4167" s="3"/>
      <c r="K4167" s="3"/>
      <c r="L4167" s="5" t="str">
        <f>HYPERLINK("NATIVE_FILES\FOIA-FWS-2020-00724-0004166.xml","FOIA-FWS-2020-00724-0004166.xml")</f>
        <v>FOIA-FWS-2020-00724-0004166.xml</v>
      </c>
    </row>
    <row r="4168" spans="1:12" ht="28.8" x14ac:dyDescent="0.55000000000000004">
      <c r="A4168" s="9" t="str">
        <f>HYPERLINK("PDF\FOIA-FWS-2020-00724-0004167.pdf","FOIA-FWS-2020-00724-0004167")</f>
        <v>FOIA-FWS-2020-00724-0004167</v>
      </c>
      <c r="B4168" s="3" t="s">
        <v>6611</v>
      </c>
      <c r="C4168" s="3" t="s">
        <v>234</v>
      </c>
      <c r="D4168" s="3" t="s">
        <v>160</v>
      </c>
      <c r="E4168" s="3" t="s">
        <v>6619</v>
      </c>
      <c r="F4168" s="4">
        <v>43901.65902777778</v>
      </c>
      <c r="G4168" s="3"/>
      <c r="H4168" s="3"/>
      <c r="I4168" s="3" t="s">
        <v>7043</v>
      </c>
      <c r="J4168" s="3"/>
      <c r="K4168" s="3"/>
      <c r="L4168" s="5" t="str">
        <f>HYPERLINK("NATIVE_FILES\FOIA-FWS-2020-00724-0004167.shx","FOIA-FWS-2020-00724-0004167.shx")</f>
        <v>FOIA-FWS-2020-00724-0004167.shx</v>
      </c>
    </row>
    <row r="4169" spans="1:12" ht="28.8" x14ac:dyDescent="0.55000000000000004">
      <c r="A4169" s="9" t="str">
        <f>HYPERLINK("PDF\FOIA-FWS-2020-00724-0004168.pdf","FOIA-FWS-2020-00724-0004168")</f>
        <v>FOIA-FWS-2020-00724-0004168</v>
      </c>
      <c r="B4169" s="3" t="s">
        <v>6611</v>
      </c>
      <c r="C4169" s="3" t="s">
        <v>234</v>
      </c>
      <c r="D4169" s="3" t="s">
        <v>160</v>
      </c>
      <c r="E4169" s="3" t="s">
        <v>6620</v>
      </c>
      <c r="F4169" s="4">
        <v>43901.65902777778</v>
      </c>
      <c r="G4169" s="3"/>
      <c r="H4169" s="3"/>
      <c r="I4169" s="3" t="s">
        <v>7043</v>
      </c>
      <c r="J4169" s="3"/>
      <c r="K4169" s="3"/>
      <c r="L4169" s="5" t="str">
        <f>HYPERLINK("NATIVE_FILES\FOIA-FWS-2020-00724-0004168.dbf","FOIA-FWS-2020-00724-0004168.dbf")</f>
        <v>FOIA-FWS-2020-00724-0004168.dbf</v>
      </c>
    </row>
    <row r="4170" spans="1:12" ht="28.8" x14ac:dyDescent="0.55000000000000004">
      <c r="A4170" s="9" t="str">
        <f>HYPERLINK("PDF\FOIA-FWS-2020-00724-0004169.pdf","FOIA-FWS-2020-00724-0004169")</f>
        <v>FOIA-FWS-2020-00724-0004169</v>
      </c>
      <c r="B4170" s="3" t="s">
        <v>6611</v>
      </c>
      <c r="C4170" s="3" t="s">
        <v>234</v>
      </c>
      <c r="D4170" s="3" t="s">
        <v>160</v>
      </c>
      <c r="E4170" s="3" t="s">
        <v>6621</v>
      </c>
      <c r="F4170" s="4">
        <v>43901.65902777778</v>
      </c>
      <c r="G4170" s="3"/>
      <c r="H4170" s="3"/>
      <c r="I4170" s="3" t="s">
        <v>7043</v>
      </c>
      <c r="J4170" s="3"/>
      <c r="K4170" s="3"/>
      <c r="L4170" s="5" t="str">
        <f>HYPERLINK("NATIVE_FILES\FOIA-FWS-2020-00724-0004169.prj","FOIA-FWS-2020-00724-0004169.prj")</f>
        <v>FOIA-FWS-2020-00724-0004169.prj</v>
      </c>
    </row>
    <row r="4171" spans="1:12" ht="28.8" x14ac:dyDescent="0.55000000000000004">
      <c r="A4171" s="9" t="str">
        <f>HYPERLINK("PDF\FOIA-FWS-2020-00724-0004170.pdf","FOIA-FWS-2020-00724-0004170")</f>
        <v>FOIA-FWS-2020-00724-0004170</v>
      </c>
      <c r="B4171" s="3" t="s">
        <v>6611</v>
      </c>
      <c r="C4171" s="3" t="s">
        <v>234</v>
      </c>
      <c r="D4171" s="3" t="s">
        <v>160</v>
      </c>
      <c r="E4171" s="3" t="s">
        <v>6622</v>
      </c>
      <c r="F4171" s="4">
        <v>43901.65902777778</v>
      </c>
      <c r="G4171" s="3"/>
      <c r="H4171" s="3"/>
      <c r="I4171" s="3" t="s">
        <v>7043</v>
      </c>
      <c r="J4171" s="3"/>
      <c r="K4171" s="3"/>
      <c r="L4171" s="5" t="str">
        <f>HYPERLINK("NATIVE_FILES\FOIA-FWS-2020-00724-0004170.sbn","FOIA-FWS-2020-00724-0004170.sbn")</f>
        <v>FOIA-FWS-2020-00724-0004170.sbn</v>
      </c>
    </row>
    <row r="4172" spans="1:12" ht="28.8" x14ac:dyDescent="0.55000000000000004">
      <c r="A4172" s="9" t="str">
        <f>HYPERLINK("PDF\FOIA-FWS-2020-00724-0004171.pdf","FOIA-FWS-2020-00724-0004171")</f>
        <v>FOIA-FWS-2020-00724-0004171</v>
      </c>
      <c r="B4172" s="3" t="s">
        <v>6611</v>
      </c>
      <c r="C4172" s="3" t="s">
        <v>234</v>
      </c>
      <c r="D4172" s="3" t="s">
        <v>160</v>
      </c>
      <c r="E4172" s="3" t="s">
        <v>6623</v>
      </c>
      <c r="F4172" s="4">
        <v>43901.65902777778</v>
      </c>
      <c r="G4172" s="3"/>
      <c r="H4172" s="3"/>
      <c r="I4172" s="3" t="s">
        <v>7043</v>
      </c>
      <c r="J4172" s="3"/>
      <c r="K4172" s="3"/>
      <c r="L4172" s="5" t="str">
        <f>HYPERLINK("NATIVE_FILES\FOIA-FWS-2020-00724-0004171.sbx","FOIA-FWS-2020-00724-0004171.sbx")</f>
        <v>FOIA-FWS-2020-00724-0004171.sbx</v>
      </c>
    </row>
    <row r="4173" spans="1:12" ht="28.8" x14ac:dyDescent="0.55000000000000004">
      <c r="A4173" s="9" t="str">
        <f>HYPERLINK("PDF\FOIA-FWS-2020-00724-0004172.pdf","FOIA-FWS-2020-00724-0004172")</f>
        <v>FOIA-FWS-2020-00724-0004172</v>
      </c>
      <c r="B4173" s="3" t="s">
        <v>6611</v>
      </c>
      <c r="C4173" s="3" t="s">
        <v>234</v>
      </c>
      <c r="D4173" s="3" t="s">
        <v>160</v>
      </c>
      <c r="E4173" s="3" t="s">
        <v>6624</v>
      </c>
      <c r="F4173" s="4">
        <v>43901.65902777778</v>
      </c>
      <c r="G4173" s="3"/>
      <c r="H4173" s="3"/>
      <c r="I4173" s="3" t="s">
        <v>7043</v>
      </c>
      <c r="J4173" s="3"/>
      <c r="K4173" s="3"/>
      <c r="L4173" s="5" t="str">
        <f>HYPERLINK("NATIVE_FILES\FOIA-FWS-2020-00724-0004172.shp","FOIA-FWS-2020-00724-0004172.shp")</f>
        <v>FOIA-FWS-2020-00724-0004172.shp</v>
      </c>
    </row>
    <row r="4174" spans="1:12" ht="28.8" x14ac:dyDescent="0.55000000000000004">
      <c r="A4174" s="9" t="str">
        <f>HYPERLINK("PDF\FOIA-FWS-2020-00724-0004173.pdf","FOIA-FWS-2020-00724-0004173")</f>
        <v>FOIA-FWS-2020-00724-0004173</v>
      </c>
      <c r="B4174" s="3" t="s">
        <v>6611</v>
      </c>
      <c r="C4174" s="3" t="s">
        <v>234</v>
      </c>
      <c r="D4174" s="3" t="s">
        <v>160</v>
      </c>
      <c r="E4174" s="3" t="s">
        <v>6625</v>
      </c>
      <c r="F4174" s="4">
        <v>43901.65902777778</v>
      </c>
      <c r="G4174" s="3"/>
      <c r="H4174" s="3"/>
      <c r="I4174" s="3" t="s">
        <v>7043</v>
      </c>
      <c r="J4174" s="3"/>
      <c r="K4174" s="3"/>
      <c r="L4174" s="5" t="str">
        <f>HYPERLINK("NATIVE_FILES\FOIA-FWS-2020-00724-0004173.xml","FOIA-FWS-2020-00724-0004173.xml")</f>
        <v>FOIA-FWS-2020-00724-0004173.xml</v>
      </c>
    </row>
    <row r="4175" spans="1:12" ht="28.8" x14ac:dyDescent="0.55000000000000004">
      <c r="A4175" s="9" t="str">
        <f>HYPERLINK("PDF\FOIA-FWS-2020-00724-0004174.pdf","FOIA-FWS-2020-00724-0004174")</f>
        <v>FOIA-FWS-2020-00724-0004174</v>
      </c>
      <c r="B4175" s="3" t="s">
        <v>6611</v>
      </c>
      <c r="C4175" s="3" t="s">
        <v>234</v>
      </c>
      <c r="D4175" s="3" t="s">
        <v>160</v>
      </c>
      <c r="E4175" s="3" t="s">
        <v>6626</v>
      </c>
      <c r="F4175" s="4">
        <v>43901.65902777778</v>
      </c>
      <c r="G4175" s="3"/>
      <c r="H4175" s="3"/>
      <c r="I4175" s="3" t="s">
        <v>7043</v>
      </c>
      <c r="J4175" s="3"/>
      <c r="K4175" s="3"/>
      <c r="L4175" s="5" t="str">
        <f>HYPERLINK("NATIVE_FILES\FOIA-FWS-2020-00724-0004174.shx","FOIA-FWS-2020-00724-0004174.shx")</f>
        <v>FOIA-FWS-2020-00724-0004174.shx</v>
      </c>
    </row>
    <row r="4176" spans="1:12" ht="28.8" x14ac:dyDescent="0.55000000000000004">
      <c r="A4176" s="9" t="str">
        <f>HYPERLINK("PDF\FOIA-FWS-2020-00724-0004175.pdf","FOIA-FWS-2020-00724-0004175")</f>
        <v>FOIA-FWS-2020-00724-0004175</v>
      </c>
      <c r="B4176" s="3" t="s">
        <v>6627</v>
      </c>
      <c r="C4176" s="3" t="s">
        <v>3</v>
      </c>
      <c r="D4176" s="3" t="s">
        <v>33</v>
      </c>
      <c r="E4176" s="3" t="s">
        <v>6612</v>
      </c>
      <c r="F4176" s="4">
        <v>43901.67083333333</v>
      </c>
      <c r="G4176" s="3" t="s">
        <v>1119</v>
      </c>
      <c r="H4176" s="3" t="s">
        <v>1963</v>
      </c>
      <c r="I4176" s="3" t="s">
        <v>7043</v>
      </c>
      <c r="J4176" s="3"/>
      <c r="K4176" s="3"/>
      <c r="L4176" s="5"/>
    </row>
    <row r="4177" spans="1:12" ht="28.8" x14ac:dyDescent="0.55000000000000004">
      <c r="A4177" s="9" t="str">
        <f>HYPERLINK("PDF\FOIA-FWS-2020-00724-0004176.pdf","FOIA-FWS-2020-00724-0004176")</f>
        <v>FOIA-FWS-2020-00724-0004176</v>
      </c>
      <c r="B4177" s="3" t="s">
        <v>6627</v>
      </c>
      <c r="C4177" s="3" t="s">
        <v>234</v>
      </c>
      <c r="D4177" s="3" t="s">
        <v>160</v>
      </c>
      <c r="E4177" s="3" t="s">
        <v>6628</v>
      </c>
      <c r="F4177" s="4">
        <v>43901.67083333333</v>
      </c>
      <c r="G4177" s="3"/>
      <c r="H4177" s="3"/>
      <c r="I4177" s="3" t="s">
        <v>7043</v>
      </c>
      <c r="J4177" s="3"/>
      <c r="K4177" s="3"/>
      <c r="L4177" s="5" t="str">
        <f>HYPERLINK("NATIVE_FILES\FOIA-FWS-2020-00724-0004176.dbf","FOIA-FWS-2020-00724-0004176.dbf")</f>
        <v>FOIA-FWS-2020-00724-0004176.dbf</v>
      </c>
    </row>
    <row r="4178" spans="1:12" ht="28.8" x14ac:dyDescent="0.55000000000000004">
      <c r="A4178" s="9" t="str">
        <f>HYPERLINK("PDF\FOIA-FWS-2020-00724-0004177.pdf","FOIA-FWS-2020-00724-0004177")</f>
        <v>FOIA-FWS-2020-00724-0004177</v>
      </c>
      <c r="B4178" s="3" t="s">
        <v>6627</v>
      </c>
      <c r="C4178" s="3" t="s">
        <v>234</v>
      </c>
      <c r="D4178" s="3" t="s">
        <v>160</v>
      </c>
      <c r="E4178" s="3" t="s">
        <v>6629</v>
      </c>
      <c r="F4178" s="4">
        <v>43901.67083333333</v>
      </c>
      <c r="G4178" s="3"/>
      <c r="H4178" s="3"/>
      <c r="I4178" s="3" t="s">
        <v>7043</v>
      </c>
      <c r="J4178" s="3"/>
      <c r="K4178" s="3"/>
      <c r="L4178" s="5" t="str">
        <f>HYPERLINK("NATIVE_FILES\FOIA-FWS-2020-00724-0004177.prj","FOIA-FWS-2020-00724-0004177.prj")</f>
        <v>FOIA-FWS-2020-00724-0004177.prj</v>
      </c>
    </row>
    <row r="4179" spans="1:12" ht="28.8" x14ac:dyDescent="0.55000000000000004">
      <c r="A4179" s="9" t="str">
        <f>HYPERLINK("PDF\FOIA-FWS-2020-00724-0004178.pdf","FOIA-FWS-2020-00724-0004178")</f>
        <v>FOIA-FWS-2020-00724-0004178</v>
      </c>
      <c r="B4179" s="3" t="s">
        <v>6627</v>
      </c>
      <c r="C4179" s="3" t="s">
        <v>234</v>
      </c>
      <c r="D4179" s="3" t="s">
        <v>160</v>
      </c>
      <c r="E4179" s="3" t="s">
        <v>6630</v>
      </c>
      <c r="F4179" s="4">
        <v>43901.67083333333</v>
      </c>
      <c r="G4179" s="3"/>
      <c r="H4179" s="3"/>
      <c r="I4179" s="3" t="s">
        <v>7043</v>
      </c>
      <c r="J4179" s="3"/>
      <c r="K4179" s="3"/>
      <c r="L4179" s="5" t="str">
        <f>HYPERLINK("NATIVE_FILES\FOIA-FWS-2020-00724-0004178.sbn","FOIA-FWS-2020-00724-0004178.sbn")</f>
        <v>FOIA-FWS-2020-00724-0004178.sbn</v>
      </c>
    </row>
    <row r="4180" spans="1:12" ht="28.8" x14ac:dyDescent="0.55000000000000004">
      <c r="A4180" s="9" t="str">
        <f>HYPERLINK("PDF\FOIA-FWS-2020-00724-0004179.pdf","FOIA-FWS-2020-00724-0004179")</f>
        <v>FOIA-FWS-2020-00724-0004179</v>
      </c>
      <c r="B4180" s="3" t="s">
        <v>6627</v>
      </c>
      <c r="C4180" s="3" t="s">
        <v>234</v>
      </c>
      <c r="D4180" s="3" t="s">
        <v>160</v>
      </c>
      <c r="E4180" s="3" t="s">
        <v>6631</v>
      </c>
      <c r="F4180" s="4">
        <v>43901.67083333333</v>
      </c>
      <c r="G4180" s="3"/>
      <c r="H4180" s="3"/>
      <c r="I4180" s="3" t="s">
        <v>7043</v>
      </c>
      <c r="J4180" s="3"/>
      <c r="K4180" s="3"/>
      <c r="L4180" s="5" t="str">
        <f>HYPERLINK("NATIVE_FILES\FOIA-FWS-2020-00724-0004179.sbx","FOIA-FWS-2020-00724-0004179.sbx")</f>
        <v>FOIA-FWS-2020-00724-0004179.sbx</v>
      </c>
    </row>
    <row r="4181" spans="1:12" ht="28.8" x14ac:dyDescent="0.55000000000000004">
      <c r="A4181" s="9" t="str">
        <f>HYPERLINK("PDF\FOIA-FWS-2020-00724-0004180.pdf","FOIA-FWS-2020-00724-0004180")</f>
        <v>FOIA-FWS-2020-00724-0004180</v>
      </c>
      <c r="B4181" s="3" t="s">
        <v>6627</v>
      </c>
      <c r="C4181" s="3" t="s">
        <v>234</v>
      </c>
      <c r="D4181" s="3" t="s">
        <v>160</v>
      </c>
      <c r="E4181" s="3" t="s">
        <v>6632</v>
      </c>
      <c r="F4181" s="4">
        <v>43901.67083333333</v>
      </c>
      <c r="G4181" s="3"/>
      <c r="H4181" s="3"/>
      <c r="I4181" s="3" t="s">
        <v>7043</v>
      </c>
      <c r="J4181" s="3"/>
      <c r="K4181" s="3"/>
      <c r="L4181" s="5" t="str">
        <f>HYPERLINK("NATIVE_FILES\FOIA-FWS-2020-00724-0004180.shp","FOIA-FWS-2020-00724-0004180.shp")</f>
        <v>FOIA-FWS-2020-00724-0004180.shp</v>
      </c>
    </row>
    <row r="4182" spans="1:12" ht="28.8" x14ac:dyDescent="0.55000000000000004">
      <c r="A4182" s="9" t="str">
        <f>HYPERLINK("PDF\FOIA-FWS-2020-00724-0004181.pdf","FOIA-FWS-2020-00724-0004181")</f>
        <v>FOIA-FWS-2020-00724-0004181</v>
      </c>
      <c r="B4182" s="3" t="s">
        <v>6627</v>
      </c>
      <c r="C4182" s="3" t="s">
        <v>234</v>
      </c>
      <c r="D4182" s="3" t="s">
        <v>160</v>
      </c>
      <c r="E4182" s="3" t="s">
        <v>6633</v>
      </c>
      <c r="F4182" s="4">
        <v>43901.67083333333</v>
      </c>
      <c r="G4182" s="3"/>
      <c r="H4182" s="3"/>
      <c r="I4182" s="3" t="s">
        <v>7043</v>
      </c>
      <c r="J4182" s="3"/>
      <c r="K4182" s="3"/>
      <c r="L4182" s="5" t="str">
        <f>HYPERLINK("NATIVE_FILES\FOIA-FWS-2020-00724-0004181.xml","FOIA-FWS-2020-00724-0004181.xml")</f>
        <v>FOIA-FWS-2020-00724-0004181.xml</v>
      </c>
    </row>
    <row r="4183" spans="1:12" ht="28.8" x14ac:dyDescent="0.55000000000000004">
      <c r="A4183" s="9" t="str">
        <f>HYPERLINK("PDF\FOIA-FWS-2020-00724-0004182.pdf","FOIA-FWS-2020-00724-0004182")</f>
        <v>FOIA-FWS-2020-00724-0004182</v>
      </c>
      <c r="B4183" s="3" t="s">
        <v>6627</v>
      </c>
      <c r="C4183" s="3" t="s">
        <v>234</v>
      </c>
      <c r="D4183" s="3" t="s">
        <v>160</v>
      </c>
      <c r="E4183" s="3" t="s">
        <v>6634</v>
      </c>
      <c r="F4183" s="4">
        <v>43901.67083333333</v>
      </c>
      <c r="G4183" s="3"/>
      <c r="H4183" s="3"/>
      <c r="I4183" s="3" t="s">
        <v>7043</v>
      </c>
      <c r="J4183" s="3"/>
      <c r="K4183" s="3"/>
      <c r="L4183" s="5" t="str">
        <f>HYPERLINK("NATIVE_FILES\FOIA-FWS-2020-00724-0004182.shx","FOIA-FWS-2020-00724-0004182.shx")</f>
        <v>FOIA-FWS-2020-00724-0004182.shx</v>
      </c>
    </row>
    <row r="4184" spans="1:12" ht="28.8" x14ac:dyDescent="0.55000000000000004">
      <c r="A4184" s="9" t="str">
        <f>HYPERLINK("PDF\FOIA-FWS-2020-00724-0004183.pdf","FOIA-FWS-2020-00724-0004183")</f>
        <v>FOIA-FWS-2020-00724-0004183</v>
      </c>
      <c r="B4184" s="3" t="s">
        <v>6635</v>
      </c>
      <c r="C4184" s="3" t="s">
        <v>3</v>
      </c>
      <c r="D4184" s="3" t="s">
        <v>33</v>
      </c>
      <c r="E4184" s="3" t="s">
        <v>6636</v>
      </c>
      <c r="F4184" s="4">
        <v>43901.677777777775</v>
      </c>
      <c r="G4184" s="3" t="s">
        <v>2022</v>
      </c>
      <c r="H4184" s="3" t="s">
        <v>1963</v>
      </c>
      <c r="I4184" s="3" t="s">
        <v>7043</v>
      </c>
      <c r="J4184" s="3"/>
      <c r="K4184" s="3"/>
      <c r="L4184" s="5"/>
    </row>
    <row r="4185" spans="1:12" ht="409.5" x14ac:dyDescent="0.55000000000000004">
      <c r="A4185" s="9" t="str">
        <f>HYPERLINK("PDF\FOIA-FWS-2020-00724-0004184.pdf","FOIA-FWS-2020-00724-0004184")</f>
        <v>FOIA-FWS-2020-00724-0004184</v>
      </c>
      <c r="B4185" s="3" t="s">
        <v>6637</v>
      </c>
      <c r="C4185" s="3" t="s">
        <v>3</v>
      </c>
      <c r="D4185" s="3" t="s">
        <v>33</v>
      </c>
      <c r="E4185" s="3" t="s">
        <v>6638</v>
      </c>
      <c r="F4185" s="4">
        <v>43901.679861111108</v>
      </c>
      <c r="G4185" s="3" t="s">
        <v>5800</v>
      </c>
      <c r="H4185" s="3" t="s">
        <v>6282</v>
      </c>
      <c r="I4185" s="3" t="s">
        <v>7043</v>
      </c>
      <c r="J4185" s="3"/>
      <c r="K4185" s="3"/>
      <c r="L4185" s="5"/>
    </row>
    <row r="4186" spans="1:12" ht="43.2" x14ac:dyDescent="0.55000000000000004">
      <c r="A4186" s="9" t="str">
        <f>HYPERLINK("PDF\FOIA-FWS-2020-00724-0004185.pdf","FOIA-FWS-2020-00724-0004185")</f>
        <v>FOIA-FWS-2020-00724-0004185</v>
      </c>
      <c r="B4186" s="3" t="s">
        <v>6639</v>
      </c>
      <c r="C4186" s="3" t="s">
        <v>3</v>
      </c>
      <c r="D4186" s="3" t="s">
        <v>33</v>
      </c>
      <c r="E4186" s="3" t="s">
        <v>6641</v>
      </c>
      <c r="F4186" s="4">
        <v>43902.470833333333</v>
      </c>
      <c r="G4186" s="3" t="s">
        <v>919</v>
      </c>
      <c r="H4186" s="3" t="s">
        <v>6640</v>
      </c>
      <c r="I4186" s="3" t="s">
        <v>7043</v>
      </c>
      <c r="J4186" s="3"/>
      <c r="K4186" s="3"/>
      <c r="L4186" s="5"/>
    </row>
    <row r="4187" spans="1:12" ht="43.2" x14ac:dyDescent="0.55000000000000004">
      <c r="A4187" s="9" t="str">
        <f>HYPERLINK("PDF\FOIA-FWS-2020-00724-0004186.pdf","FOIA-FWS-2020-00724-0004186")</f>
        <v>FOIA-FWS-2020-00724-0004186</v>
      </c>
      <c r="B4187" s="3" t="s">
        <v>6642</v>
      </c>
      <c r="C4187" s="3" t="s">
        <v>3</v>
      </c>
      <c r="D4187" s="3" t="s">
        <v>33</v>
      </c>
      <c r="E4187" s="3" t="s">
        <v>6644</v>
      </c>
      <c r="F4187" s="4">
        <v>43902.472222222219</v>
      </c>
      <c r="G4187" s="3" t="s">
        <v>945</v>
      </c>
      <c r="H4187" s="3" t="s">
        <v>6643</v>
      </c>
      <c r="I4187" s="3" t="s">
        <v>7043</v>
      </c>
      <c r="J4187" s="3"/>
      <c r="K4187" s="3"/>
      <c r="L4187" s="5"/>
    </row>
    <row r="4188" spans="1:12" ht="28.8" x14ac:dyDescent="0.55000000000000004">
      <c r="A4188" s="9" t="str">
        <f>HYPERLINK("PDF\FOIA-FWS-2020-00724-0004187.pdf","FOIA-FWS-2020-00724-0004187")</f>
        <v>FOIA-FWS-2020-00724-0004187</v>
      </c>
      <c r="B4188" s="3" t="s">
        <v>6642</v>
      </c>
      <c r="C4188" s="3" t="s">
        <v>234</v>
      </c>
      <c r="D4188" s="3" t="s">
        <v>33</v>
      </c>
      <c r="E4188" s="3" t="s">
        <v>6645</v>
      </c>
      <c r="F4188" s="4">
        <v>43902.472222222219</v>
      </c>
      <c r="G4188" s="3"/>
      <c r="H4188" s="3"/>
      <c r="I4188" s="3" t="s">
        <v>7043</v>
      </c>
      <c r="J4188" s="3"/>
      <c r="K4188" s="3"/>
      <c r="L4188" s="5"/>
    </row>
    <row r="4189" spans="1:12" ht="43.2" x14ac:dyDescent="0.55000000000000004">
      <c r="A4189" s="9" t="str">
        <f>HYPERLINK("PDF\FOIA-FWS-2020-00724-0004188.pdf","FOIA-FWS-2020-00724-0004188")</f>
        <v>FOIA-FWS-2020-00724-0004188</v>
      </c>
      <c r="B4189" s="3" t="s">
        <v>6646</v>
      </c>
      <c r="C4189" s="3" t="s">
        <v>3</v>
      </c>
      <c r="D4189" s="3" t="s">
        <v>33</v>
      </c>
      <c r="E4189" s="3" t="s">
        <v>6648</v>
      </c>
      <c r="F4189" s="4">
        <v>43902.493750000001</v>
      </c>
      <c r="G4189" s="3" t="s">
        <v>919</v>
      </c>
      <c r="H4189" s="3" t="s">
        <v>6647</v>
      </c>
      <c r="I4189" s="3" t="s">
        <v>7043</v>
      </c>
      <c r="J4189" s="3"/>
      <c r="K4189" s="3"/>
      <c r="L4189" s="5"/>
    </row>
    <row r="4190" spans="1:12" ht="43.2" x14ac:dyDescent="0.55000000000000004">
      <c r="A4190" s="9" t="str">
        <f>HYPERLINK("PDF\FOIA-FWS-2020-00724-0004189.pdf","FOIA-FWS-2020-00724-0004189")</f>
        <v>FOIA-FWS-2020-00724-0004189</v>
      </c>
      <c r="B4190" s="3" t="s">
        <v>6649</v>
      </c>
      <c r="C4190" s="3" t="s">
        <v>3</v>
      </c>
      <c r="D4190" s="3" t="s">
        <v>33</v>
      </c>
      <c r="E4190" s="3" t="s">
        <v>6651</v>
      </c>
      <c r="F4190" s="4">
        <v>43902.495833333334</v>
      </c>
      <c r="G4190" s="3" t="s">
        <v>872</v>
      </c>
      <c r="H4190" s="3" t="s">
        <v>6650</v>
      </c>
      <c r="I4190" s="3" t="s">
        <v>7043</v>
      </c>
      <c r="J4190" s="3"/>
      <c r="K4190" s="3"/>
      <c r="L4190" s="5"/>
    </row>
    <row r="4191" spans="1:12" ht="43.2" x14ac:dyDescent="0.55000000000000004">
      <c r="A4191" s="9" t="str">
        <f>HYPERLINK("PDF\FOIA-FWS-2020-00724-0004190.pdf","FOIA-FWS-2020-00724-0004190")</f>
        <v>FOIA-FWS-2020-00724-0004190</v>
      </c>
      <c r="B4191" s="3" t="s">
        <v>6652</v>
      </c>
      <c r="C4191" s="3" t="s">
        <v>3</v>
      </c>
      <c r="D4191" s="3" t="s">
        <v>33</v>
      </c>
      <c r="E4191" s="3" t="s">
        <v>6651</v>
      </c>
      <c r="F4191" s="4">
        <v>43902.520138888889</v>
      </c>
      <c r="G4191" s="3" t="s">
        <v>1119</v>
      </c>
      <c r="H4191" s="3" t="s">
        <v>6653</v>
      </c>
      <c r="I4191" s="3" t="s">
        <v>7043</v>
      </c>
      <c r="J4191" s="3"/>
      <c r="K4191" s="3"/>
      <c r="L4191" s="5"/>
    </row>
    <row r="4192" spans="1:12" ht="28.8" x14ac:dyDescent="0.55000000000000004">
      <c r="A4192" s="9" t="str">
        <f>HYPERLINK("PDF\FOIA-FWS-2020-00724-0004191.pdf","FOIA-FWS-2020-00724-0004191")</f>
        <v>FOIA-FWS-2020-00724-0004191</v>
      </c>
      <c r="B4192" s="3" t="s">
        <v>6652</v>
      </c>
      <c r="C4192" s="3" t="s">
        <v>234</v>
      </c>
      <c r="D4192" s="3" t="s">
        <v>33</v>
      </c>
      <c r="E4192" s="3" t="s">
        <v>6654</v>
      </c>
      <c r="F4192" s="4">
        <v>43902.520138888889</v>
      </c>
      <c r="G4192" s="3"/>
      <c r="H4192" s="3"/>
      <c r="I4192" s="3" t="s">
        <v>7043</v>
      </c>
      <c r="J4192" s="3"/>
      <c r="K4192" s="3"/>
      <c r="L4192" s="5"/>
    </row>
    <row r="4193" spans="1:12" ht="43.2" x14ac:dyDescent="0.55000000000000004">
      <c r="A4193" s="9" t="str">
        <f>HYPERLINK("PDF\FOIA-FWS-2020-00724-0004192.pdf","FOIA-FWS-2020-00724-0004192")</f>
        <v>FOIA-FWS-2020-00724-0004192</v>
      </c>
      <c r="B4193" s="3" t="s">
        <v>6655</v>
      </c>
      <c r="C4193" s="3" t="s">
        <v>3</v>
      </c>
      <c r="D4193" s="3" t="s">
        <v>33</v>
      </c>
      <c r="E4193" s="3" t="s">
        <v>6651</v>
      </c>
      <c r="F4193" s="4">
        <v>43902.520138888889</v>
      </c>
      <c r="G4193" s="3" t="s">
        <v>1119</v>
      </c>
      <c r="H4193" s="3" t="s">
        <v>6653</v>
      </c>
      <c r="I4193" s="3" t="s">
        <v>7043</v>
      </c>
      <c r="J4193" s="3"/>
      <c r="K4193" s="3"/>
      <c r="L4193" s="5"/>
    </row>
    <row r="4194" spans="1:12" ht="28.8" x14ac:dyDescent="0.55000000000000004">
      <c r="A4194" s="9" t="str">
        <f>HYPERLINK("PDF\FOIA-FWS-2020-00724-0004193.pdf","FOIA-FWS-2020-00724-0004193")</f>
        <v>FOIA-FWS-2020-00724-0004193</v>
      </c>
      <c r="B4194" s="3" t="s">
        <v>6655</v>
      </c>
      <c r="C4194" s="3" t="s">
        <v>234</v>
      </c>
      <c r="D4194" s="3" t="s">
        <v>33</v>
      </c>
      <c r="E4194" s="3" t="s">
        <v>6654</v>
      </c>
      <c r="F4194" s="4">
        <v>43902.520138888889</v>
      </c>
      <c r="G4194" s="3"/>
      <c r="H4194" s="3"/>
      <c r="I4194" s="3" t="s">
        <v>7043</v>
      </c>
      <c r="J4194" s="3"/>
      <c r="K4194" s="3"/>
      <c r="L4194" s="5"/>
    </row>
    <row r="4195" spans="1:12" ht="43.2" x14ac:dyDescent="0.55000000000000004">
      <c r="A4195" s="9" t="str">
        <f>HYPERLINK("PDF\FOIA-FWS-2020-00724-0004194.pdf","FOIA-FWS-2020-00724-0004194")</f>
        <v>FOIA-FWS-2020-00724-0004194</v>
      </c>
      <c r="B4195" s="3" t="s">
        <v>6656</v>
      </c>
      <c r="C4195" s="3" t="s">
        <v>3</v>
      </c>
      <c r="D4195" s="3" t="s">
        <v>33</v>
      </c>
      <c r="E4195" s="3" t="s">
        <v>6648</v>
      </c>
      <c r="F4195" s="4">
        <v>43902.529166666667</v>
      </c>
      <c r="G4195" s="3" t="s">
        <v>919</v>
      </c>
      <c r="H4195" s="3" t="s">
        <v>6657</v>
      </c>
      <c r="I4195" s="3" t="s">
        <v>7043</v>
      </c>
      <c r="J4195" s="3"/>
      <c r="K4195" s="3"/>
      <c r="L4195" s="5"/>
    </row>
    <row r="4196" spans="1:12" ht="28.8" x14ac:dyDescent="0.55000000000000004">
      <c r="A4196" s="9" t="str">
        <f>HYPERLINK("PDF\FOIA-FWS-2020-00724-0004195.pdf","FOIA-FWS-2020-00724-0004195")</f>
        <v>FOIA-FWS-2020-00724-0004195</v>
      </c>
      <c r="B4196" s="3" t="s">
        <v>6658</v>
      </c>
      <c r="C4196" s="3" t="s">
        <v>3</v>
      </c>
      <c r="D4196" s="3" t="s">
        <v>33</v>
      </c>
      <c r="E4196" s="3" t="s">
        <v>6648</v>
      </c>
      <c r="F4196" s="4">
        <v>43902.568749999999</v>
      </c>
      <c r="G4196" s="3" t="s">
        <v>2022</v>
      </c>
      <c r="H4196" s="3" t="s">
        <v>1963</v>
      </c>
      <c r="I4196" s="3" t="s">
        <v>7043</v>
      </c>
      <c r="J4196" s="3"/>
      <c r="K4196" s="3"/>
      <c r="L4196" s="5"/>
    </row>
    <row r="4197" spans="1:12" ht="28.8" x14ac:dyDescent="0.55000000000000004">
      <c r="A4197" s="9" t="str">
        <f>HYPERLINK("PDF\FOIA-FWS-2020-00724-0004196.pdf","FOIA-FWS-2020-00724-0004196")</f>
        <v>FOIA-FWS-2020-00724-0004196</v>
      </c>
      <c r="B4197" s="3" t="s">
        <v>6659</v>
      </c>
      <c r="C4197" s="3" t="s">
        <v>3</v>
      </c>
      <c r="D4197" s="3" t="s">
        <v>33</v>
      </c>
      <c r="E4197" s="3" t="s">
        <v>6662</v>
      </c>
      <c r="F4197" s="4">
        <v>43902.661805555559</v>
      </c>
      <c r="G4197" s="3" t="s">
        <v>6660</v>
      </c>
      <c r="H4197" s="3" t="s">
        <v>6661</v>
      </c>
      <c r="I4197" s="3" t="s">
        <v>7043</v>
      </c>
      <c r="J4197" s="3"/>
      <c r="K4197" s="3"/>
      <c r="L4197" s="5"/>
    </row>
    <row r="4198" spans="1:12" ht="28.8" x14ac:dyDescent="0.55000000000000004">
      <c r="A4198" s="9" t="str">
        <f>HYPERLINK("PDF\FOIA-FWS-2020-00724-0004197.pdf","FOIA-FWS-2020-00724-0004197")</f>
        <v>FOIA-FWS-2020-00724-0004197</v>
      </c>
      <c r="B4198" s="3" t="s">
        <v>6663</v>
      </c>
      <c r="C4198" s="3" t="s">
        <v>3</v>
      </c>
      <c r="D4198" s="3" t="s">
        <v>33</v>
      </c>
      <c r="E4198" s="3" t="s">
        <v>6664</v>
      </c>
      <c r="F4198" s="4">
        <v>43902.819444444445</v>
      </c>
      <c r="G4198" s="3" t="s">
        <v>1963</v>
      </c>
      <c r="H4198" s="3" t="s">
        <v>2022</v>
      </c>
      <c r="I4198" s="3" t="s">
        <v>7043</v>
      </c>
      <c r="J4198" s="3"/>
      <c r="K4198" s="3"/>
      <c r="L4198" s="5"/>
    </row>
    <row r="4199" spans="1:12" ht="28.8" x14ac:dyDescent="0.55000000000000004">
      <c r="A4199" s="9" t="str">
        <f>HYPERLINK("PDF\FOIA-FWS-2020-00724-0004198.pdf","FOIA-FWS-2020-00724-0004198")</f>
        <v>FOIA-FWS-2020-00724-0004198</v>
      </c>
      <c r="B4199" s="3" t="s">
        <v>6665</v>
      </c>
      <c r="C4199" s="3" t="s">
        <v>3</v>
      </c>
      <c r="D4199" s="3" t="s">
        <v>33</v>
      </c>
      <c r="E4199" s="3" t="s">
        <v>6648</v>
      </c>
      <c r="F4199" s="4">
        <v>43902.823611111111</v>
      </c>
      <c r="G4199" s="3" t="s">
        <v>2022</v>
      </c>
      <c r="H4199" s="3" t="s">
        <v>945</v>
      </c>
      <c r="I4199" s="3" t="s">
        <v>7043</v>
      </c>
      <c r="J4199" s="3"/>
      <c r="K4199" s="3"/>
      <c r="L4199" s="5"/>
    </row>
    <row r="4200" spans="1:12" ht="28.8" x14ac:dyDescent="0.55000000000000004">
      <c r="A4200" s="9" t="str">
        <f>HYPERLINK("PDF\FOIA-FWS-2020-00724-0004199.pdf","FOIA-FWS-2020-00724-0004199")</f>
        <v>FOIA-FWS-2020-00724-0004199</v>
      </c>
      <c r="B4200" s="3" t="s">
        <v>6666</v>
      </c>
      <c r="C4200" s="3" t="s">
        <v>3</v>
      </c>
      <c r="D4200" s="3" t="s">
        <v>33</v>
      </c>
      <c r="E4200" s="3" t="s">
        <v>6667</v>
      </c>
      <c r="F4200" s="4">
        <v>43903</v>
      </c>
      <c r="G4200" s="3"/>
      <c r="H4200" s="3"/>
      <c r="I4200" s="3" t="s">
        <v>7043</v>
      </c>
      <c r="J4200" s="3"/>
      <c r="K4200" s="3"/>
      <c r="L4200" s="5"/>
    </row>
    <row r="4201" spans="1:12" ht="28.8" x14ac:dyDescent="0.55000000000000004">
      <c r="A4201" s="9" t="str">
        <f>HYPERLINK("PDF\FOIA-FWS-2020-00724-0004200.pdf","FOIA-FWS-2020-00724-0004200")</f>
        <v>FOIA-FWS-2020-00724-0004200</v>
      </c>
      <c r="B4201" s="3" t="s">
        <v>6668</v>
      </c>
      <c r="C4201" s="3" t="s">
        <v>3</v>
      </c>
      <c r="D4201" s="3" t="s">
        <v>33</v>
      </c>
      <c r="E4201" s="3" t="s">
        <v>6669</v>
      </c>
      <c r="F4201" s="4">
        <v>43903</v>
      </c>
      <c r="G4201" s="3"/>
      <c r="H4201" s="3"/>
      <c r="I4201" s="3" t="s">
        <v>7043</v>
      </c>
      <c r="J4201" s="3"/>
      <c r="K4201" s="3"/>
      <c r="L4201" s="5"/>
    </row>
    <row r="4202" spans="1:12" ht="28.8" x14ac:dyDescent="0.55000000000000004">
      <c r="A4202" s="9" t="str">
        <f>HYPERLINK("PDF\FOIA-FWS-2020-00724-0004201.pdf","FOIA-FWS-2020-00724-0004201")</f>
        <v>FOIA-FWS-2020-00724-0004201</v>
      </c>
      <c r="B4202" s="3" t="s">
        <v>6670</v>
      </c>
      <c r="C4202" s="3" t="s">
        <v>3</v>
      </c>
      <c r="D4202" s="3" t="s">
        <v>33</v>
      </c>
      <c r="E4202" s="3" t="s">
        <v>6671</v>
      </c>
      <c r="F4202" s="4">
        <v>43903</v>
      </c>
      <c r="G4202" s="3"/>
      <c r="H4202" s="3"/>
      <c r="I4202" s="3" t="s">
        <v>7043</v>
      </c>
      <c r="J4202" s="3"/>
      <c r="K4202" s="3"/>
      <c r="L4202" s="5"/>
    </row>
    <row r="4203" spans="1:12" ht="28.8" x14ac:dyDescent="0.55000000000000004">
      <c r="A4203" s="9" t="str">
        <f>HYPERLINK("PDF\FOIA-FWS-2020-00724-0004202.pdf","FOIA-FWS-2020-00724-0004202")</f>
        <v>FOIA-FWS-2020-00724-0004202</v>
      </c>
      <c r="B4203" s="3" t="s">
        <v>6672</v>
      </c>
      <c r="C4203" s="3" t="s">
        <v>3</v>
      </c>
      <c r="D4203" s="3" t="s">
        <v>33</v>
      </c>
      <c r="E4203" s="3" t="s">
        <v>6673</v>
      </c>
      <c r="F4203" s="4">
        <v>43903.476388888892</v>
      </c>
      <c r="G4203" s="3" t="s">
        <v>5800</v>
      </c>
      <c r="H4203" s="3" t="s">
        <v>1003</v>
      </c>
      <c r="I4203" s="3" t="s">
        <v>7043</v>
      </c>
      <c r="J4203" s="3"/>
      <c r="K4203" s="3"/>
      <c r="L4203" s="5"/>
    </row>
    <row r="4204" spans="1:12" ht="28.8" x14ac:dyDescent="0.55000000000000004">
      <c r="A4204" s="9" t="str">
        <f>HYPERLINK("PDF\FOIA-FWS-2020-00724-0004203.pdf","FOIA-FWS-2020-00724-0004203")</f>
        <v>FOIA-FWS-2020-00724-0004203</v>
      </c>
      <c r="B4204" s="3" t="s">
        <v>6674</v>
      </c>
      <c r="C4204" s="3" t="s">
        <v>3</v>
      </c>
      <c r="D4204" s="3" t="s">
        <v>33</v>
      </c>
      <c r="E4204" s="3" t="s">
        <v>6603</v>
      </c>
      <c r="F4204" s="4">
        <v>43903.482638888891</v>
      </c>
      <c r="G4204" s="3" t="s">
        <v>1963</v>
      </c>
      <c r="H4204" s="3" t="s">
        <v>6675</v>
      </c>
      <c r="I4204" s="3" t="s">
        <v>7043</v>
      </c>
      <c r="J4204" s="3"/>
      <c r="K4204" s="3"/>
      <c r="L4204" s="5"/>
    </row>
    <row r="4205" spans="1:12" ht="28.8" x14ac:dyDescent="0.55000000000000004">
      <c r="A4205" s="9" t="str">
        <f>HYPERLINK("PDF\FOIA-FWS-2020-00724-0004204.pdf","FOIA-FWS-2020-00724-0004204")</f>
        <v>FOIA-FWS-2020-00724-0004204</v>
      </c>
      <c r="B4205" s="3" t="s">
        <v>6676</v>
      </c>
      <c r="C4205" s="3" t="s">
        <v>3</v>
      </c>
      <c r="D4205" s="3" t="s">
        <v>33</v>
      </c>
      <c r="E4205" s="3" t="s">
        <v>6677</v>
      </c>
      <c r="F4205" s="4">
        <v>43903.486805555556</v>
      </c>
      <c r="G4205" s="3" t="s">
        <v>963</v>
      </c>
      <c r="H4205" s="3" t="s">
        <v>945</v>
      </c>
      <c r="I4205" s="3" t="s">
        <v>7043</v>
      </c>
      <c r="J4205" s="3"/>
      <c r="K4205" s="3"/>
      <c r="L4205" s="5"/>
    </row>
    <row r="4206" spans="1:12" ht="28.8" x14ac:dyDescent="0.55000000000000004">
      <c r="A4206" s="9" t="str">
        <f>HYPERLINK("PDF\FOIA-FWS-2020-00724-0004205.pdf","FOIA-FWS-2020-00724-0004205")</f>
        <v>FOIA-FWS-2020-00724-0004205</v>
      </c>
      <c r="B4206" s="3" t="s">
        <v>6676</v>
      </c>
      <c r="C4206" s="3" t="s">
        <v>234</v>
      </c>
      <c r="D4206" s="3" t="s">
        <v>33</v>
      </c>
      <c r="E4206" s="3" t="s">
        <v>6678</v>
      </c>
      <c r="F4206" s="4">
        <v>43903.486805555556</v>
      </c>
      <c r="G4206" s="3"/>
      <c r="H4206" s="3"/>
      <c r="I4206" s="3" t="s">
        <v>7043</v>
      </c>
      <c r="J4206" s="3"/>
      <c r="K4206" s="3"/>
      <c r="L4206" s="5"/>
    </row>
    <row r="4207" spans="1:12" ht="28.8" x14ac:dyDescent="0.55000000000000004">
      <c r="A4207" s="9" t="str">
        <f>HYPERLINK("PDF\FOIA-FWS-2020-00724-0004206.pdf","FOIA-FWS-2020-00724-0004206")</f>
        <v>FOIA-FWS-2020-00724-0004206</v>
      </c>
      <c r="B4207" s="3" t="s">
        <v>6679</v>
      </c>
      <c r="C4207" s="3" t="s">
        <v>3</v>
      </c>
      <c r="D4207" s="3" t="s">
        <v>33</v>
      </c>
      <c r="E4207" s="3" t="s">
        <v>6603</v>
      </c>
      <c r="F4207" s="4">
        <v>43906.495138888888</v>
      </c>
      <c r="G4207" s="3" t="s">
        <v>1715</v>
      </c>
      <c r="H4207" s="3" t="s">
        <v>6680</v>
      </c>
      <c r="I4207" s="3" t="s">
        <v>7043</v>
      </c>
      <c r="J4207" s="3"/>
      <c r="K4207" s="3"/>
      <c r="L4207" s="5"/>
    </row>
    <row r="4208" spans="1:12" ht="28.8" x14ac:dyDescent="0.55000000000000004">
      <c r="A4208" s="9" t="str">
        <f>HYPERLINK("PDF\FOIA-FWS-2020-00724-0004207.pdf","FOIA-FWS-2020-00724-0004207")</f>
        <v>FOIA-FWS-2020-00724-0004207</v>
      </c>
      <c r="B4208" s="3" t="s">
        <v>6679</v>
      </c>
      <c r="C4208" s="3" t="s">
        <v>234</v>
      </c>
      <c r="D4208" s="3" t="s">
        <v>33</v>
      </c>
      <c r="E4208" s="3" t="s">
        <v>6681</v>
      </c>
      <c r="F4208" s="4">
        <v>43906.495138888888</v>
      </c>
      <c r="G4208" s="3"/>
      <c r="H4208" s="3"/>
      <c r="I4208" s="3" t="s">
        <v>7043</v>
      </c>
      <c r="J4208" s="3"/>
      <c r="K4208" s="3"/>
      <c r="L4208" s="5"/>
    </row>
    <row r="4209" spans="1:12" ht="28.8" x14ac:dyDescent="0.55000000000000004">
      <c r="A4209" s="9" t="str">
        <f>HYPERLINK("PDF\FOIA-FWS-2020-00724-0004208.pdf","FOIA-FWS-2020-00724-0004208")</f>
        <v>FOIA-FWS-2020-00724-0004208</v>
      </c>
      <c r="B4209" s="3" t="s">
        <v>6682</v>
      </c>
      <c r="C4209" s="3" t="s">
        <v>3</v>
      </c>
      <c r="D4209" s="3" t="s">
        <v>33</v>
      </c>
      <c r="E4209" s="3" t="s">
        <v>6603</v>
      </c>
      <c r="F4209" s="4">
        <v>43906.495833333334</v>
      </c>
      <c r="G4209" s="3" t="s">
        <v>5800</v>
      </c>
      <c r="H4209" s="3" t="s">
        <v>6683</v>
      </c>
      <c r="I4209" s="3" t="s">
        <v>7043</v>
      </c>
      <c r="J4209" s="3"/>
      <c r="K4209" s="3"/>
      <c r="L4209" s="5"/>
    </row>
    <row r="4210" spans="1:12" ht="28.8" x14ac:dyDescent="0.55000000000000004">
      <c r="A4210" s="9" t="str">
        <f>HYPERLINK("PDF\FOIA-FWS-2020-00724-0004209.pdf","FOIA-FWS-2020-00724-0004209")</f>
        <v>FOIA-FWS-2020-00724-0004209</v>
      </c>
      <c r="B4210" s="3" t="s">
        <v>6684</v>
      </c>
      <c r="C4210" s="3" t="s">
        <v>3</v>
      </c>
      <c r="D4210" s="3" t="s">
        <v>33</v>
      </c>
      <c r="E4210" s="3" t="s">
        <v>6685</v>
      </c>
      <c r="F4210" s="4">
        <v>43906.861111111109</v>
      </c>
      <c r="G4210" s="3" t="s">
        <v>963</v>
      </c>
      <c r="H4210" s="3" t="s">
        <v>6195</v>
      </c>
      <c r="I4210" s="3" t="s">
        <v>7043</v>
      </c>
      <c r="J4210" s="3"/>
      <c r="K4210" s="3"/>
      <c r="L4210" s="5"/>
    </row>
    <row r="4211" spans="1:12" ht="43.2" x14ac:dyDescent="0.55000000000000004">
      <c r="A4211" s="9" t="str">
        <f>HYPERLINK("PDF\FOIA-FWS-2020-00724-0004210.pdf","FOIA-FWS-2020-00724-0004210")</f>
        <v>FOIA-FWS-2020-00724-0004210</v>
      </c>
      <c r="B4211" s="3" t="s">
        <v>6686</v>
      </c>
      <c r="C4211" s="3" t="s">
        <v>3</v>
      </c>
      <c r="D4211" s="3" t="s">
        <v>33</v>
      </c>
      <c r="E4211" s="3" t="s">
        <v>6687</v>
      </c>
      <c r="F4211" s="4">
        <v>43907</v>
      </c>
      <c r="G4211" s="3"/>
      <c r="H4211" s="3"/>
      <c r="I4211" s="3" t="s">
        <v>7043</v>
      </c>
      <c r="J4211" s="3"/>
      <c r="K4211" s="3"/>
      <c r="L4211" s="5"/>
    </row>
    <row r="4212" spans="1:12" ht="144" x14ac:dyDescent="0.55000000000000004">
      <c r="A4212" s="9" t="str">
        <f>HYPERLINK("PDF\FOIA-FWS-2020-00724-0004211.pdf","FOIA-FWS-2020-00724-0004211")</f>
        <v>FOIA-FWS-2020-00724-0004211</v>
      </c>
      <c r="B4212" s="3" t="s">
        <v>6688</v>
      </c>
      <c r="C4212" s="3" t="s">
        <v>3</v>
      </c>
      <c r="D4212" s="3" t="s">
        <v>33</v>
      </c>
      <c r="E4212" s="3" t="s">
        <v>6689</v>
      </c>
      <c r="F4212" s="4">
        <v>43907.432638888888</v>
      </c>
      <c r="G4212" s="3" t="s">
        <v>963</v>
      </c>
      <c r="H4212" s="3" t="s">
        <v>1963</v>
      </c>
      <c r="I4212" s="3" t="s">
        <v>7043</v>
      </c>
      <c r="J4212" s="3"/>
      <c r="K4212" s="3"/>
      <c r="L4212" s="5"/>
    </row>
    <row r="4213" spans="1:12" ht="28.8" x14ac:dyDescent="0.55000000000000004">
      <c r="A4213" s="9" t="str">
        <f>HYPERLINK("PDF\FOIA-FWS-2020-00724-0004212.pdf","FOIA-FWS-2020-00724-0004212")</f>
        <v>FOIA-FWS-2020-00724-0004212</v>
      </c>
      <c r="B4213" s="3" t="s">
        <v>6690</v>
      </c>
      <c r="C4213" s="3" t="s">
        <v>3</v>
      </c>
      <c r="D4213" s="3" t="s">
        <v>33</v>
      </c>
      <c r="E4213" s="3" t="s">
        <v>5674</v>
      </c>
      <c r="F4213" s="4">
        <v>43907.432638888888</v>
      </c>
      <c r="G4213" s="3"/>
      <c r="H4213" s="3"/>
      <c r="I4213" s="3" t="s">
        <v>7043</v>
      </c>
      <c r="J4213" s="3"/>
      <c r="K4213" s="3"/>
      <c r="L4213" s="5"/>
    </row>
    <row r="4214" spans="1:12" ht="57.6" x14ac:dyDescent="0.55000000000000004">
      <c r="A4214" s="9" t="str">
        <f>HYPERLINK("PDF\FOIA-FWS-2020-00724-0004213.pdf","FOIA-FWS-2020-00724-0004213")</f>
        <v>FOIA-FWS-2020-00724-0004213</v>
      </c>
      <c r="B4214" s="3" t="s">
        <v>6691</v>
      </c>
      <c r="C4214" s="3" t="s">
        <v>3</v>
      </c>
      <c r="D4214" s="3" t="s">
        <v>33</v>
      </c>
      <c r="E4214" s="3" t="s">
        <v>6693</v>
      </c>
      <c r="F4214" s="4">
        <v>43907.522916666669</v>
      </c>
      <c r="G4214" s="3" t="s">
        <v>1119</v>
      </c>
      <c r="H4214" s="3" t="s">
        <v>6692</v>
      </c>
      <c r="I4214" s="3" t="s">
        <v>7044</v>
      </c>
      <c r="J4214" s="3" t="s">
        <v>7046</v>
      </c>
      <c r="K4214" s="3" t="s">
        <v>7036</v>
      </c>
      <c r="L4214" s="5"/>
    </row>
    <row r="4215" spans="1:12" ht="43.2" x14ac:dyDescent="0.55000000000000004">
      <c r="A4215" t="s">
        <v>7030</v>
      </c>
      <c r="B4215" s="3" t="s">
        <v>6691</v>
      </c>
      <c r="C4215" s="3" t="s">
        <v>234</v>
      </c>
      <c r="D4215" s="3" t="s">
        <v>33</v>
      </c>
      <c r="E4215" s="3" t="s">
        <v>6694</v>
      </c>
      <c r="F4215" s="4">
        <v>43907.522916666669</v>
      </c>
      <c r="G4215" s="3"/>
      <c r="H4215" s="3"/>
      <c r="I4215" s="3" t="s">
        <v>7044</v>
      </c>
      <c r="J4215" s="3" t="s">
        <v>7046</v>
      </c>
      <c r="K4215" s="3"/>
      <c r="L4215" s="5"/>
    </row>
    <row r="4216" spans="1:12" ht="28.8" x14ac:dyDescent="0.55000000000000004">
      <c r="A4216" s="9" t="str">
        <f>HYPERLINK("PDF\FOIA-FWS-2020-00724-0004215.pdf","FOIA-FWS-2020-00724-0004215")</f>
        <v>FOIA-FWS-2020-00724-0004215</v>
      </c>
      <c r="B4216" s="3" t="s">
        <v>6695</v>
      </c>
      <c r="C4216" s="3" t="s">
        <v>3</v>
      </c>
      <c r="D4216" s="3" t="s">
        <v>33</v>
      </c>
      <c r="E4216" s="3"/>
      <c r="F4216" s="4">
        <v>43907.574999999997</v>
      </c>
      <c r="G4216" s="3"/>
      <c r="H4216" s="3"/>
      <c r="I4216" s="3" t="s">
        <v>7043</v>
      </c>
      <c r="J4216" s="3"/>
      <c r="K4216" s="3"/>
      <c r="L4216" s="5"/>
    </row>
    <row r="4217" spans="1:12" ht="28.8" x14ac:dyDescent="0.55000000000000004">
      <c r="A4217" s="9" t="str">
        <f>HYPERLINK("PDF\FOIA-FWS-2020-00724-0004216.pdf","FOIA-FWS-2020-00724-0004216")</f>
        <v>FOIA-FWS-2020-00724-0004216</v>
      </c>
      <c r="B4217" s="3" t="s">
        <v>6696</v>
      </c>
      <c r="C4217" s="3" t="s">
        <v>3</v>
      </c>
      <c r="D4217" s="3" t="s">
        <v>33</v>
      </c>
      <c r="E4217" s="3" t="s">
        <v>6697</v>
      </c>
      <c r="F4217" s="4">
        <v>43907.589583333334</v>
      </c>
      <c r="G4217" s="3" t="s">
        <v>1119</v>
      </c>
      <c r="H4217" s="3" t="s">
        <v>1730</v>
      </c>
      <c r="I4217" s="3" t="s">
        <v>7043</v>
      </c>
      <c r="J4217" s="3"/>
      <c r="K4217" s="3"/>
      <c r="L4217" s="5"/>
    </row>
    <row r="4218" spans="1:12" ht="28.8" x14ac:dyDescent="0.55000000000000004">
      <c r="A4218" s="9" t="str">
        <f>HYPERLINK("PDF\FOIA-FWS-2020-00724-0004217.pdf","FOIA-FWS-2020-00724-0004217")</f>
        <v>FOIA-FWS-2020-00724-0004217</v>
      </c>
      <c r="B4218" s="3" t="s">
        <v>6696</v>
      </c>
      <c r="C4218" s="3" t="s">
        <v>234</v>
      </c>
      <c r="D4218" s="3" t="s">
        <v>33</v>
      </c>
      <c r="E4218" s="3" t="s">
        <v>6698</v>
      </c>
      <c r="F4218" s="4">
        <v>43907.589583333334</v>
      </c>
      <c r="G4218" s="3"/>
      <c r="H4218" s="3"/>
      <c r="I4218" s="3" t="s">
        <v>7043</v>
      </c>
      <c r="J4218" s="3"/>
      <c r="K4218" s="3"/>
      <c r="L4218" s="5"/>
    </row>
    <row r="4219" spans="1:12" ht="28.8" x14ac:dyDescent="0.55000000000000004">
      <c r="A4219" s="9" t="str">
        <f>HYPERLINK("PDF\FOIA-FWS-2020-00724-0004218.pdf","FOIA-FWS-2020-00724-0004218")</f>
        <v>FOIA-FWS-2020-00724-0004218</v>
      </c>
      <c r="B4219" s="3" t="s">
        <v>6699</v>
      </c>
      <c r="C4219" s="3" t="s">
        <v>3</v>
      </c>
      <c r="D4219" s="3" t="s">
        <v>33</v>
      </c>
      <c r="E4219" s="3" t="s">
        <v>6701</v>
      </c>
      <c r="F4219" s="4">
        <v>43907.683333333334</v>
      </c>
      <c r="G4219" s="3" t="s">
        <v>872</v>
      </c>
      <c r="H4219" s="3" t="s">
        <v>6700</v>
      </c>
      <c r="I4219" s="3" t="s">
        <v>7043</v>
      </c>
      <c r="J4219" s="3"/>
      <c r="K4219" s="3"/>
      <c r="L4219" s="5"/>
    </row>
    <row r="4220" spans="1:12" ht="43.2" x14ac:dyDescent="0.55000000000000004">
      <c r="A4220" s="9" t="str">
        <f>HYPERLINK("PDF\FOIA-FWS-2020-00724-0004219.pdf","FOIA-FWS-2020-00724-0004219")</f>
        <v>FOIA-FWS-2020-00724-0004219</v>
      </c>
      <c r="B4220" s="3" t="s">
        <v>6702</v>
      </c>
      <c r="C4220" s="3" t="s">
        <v>3</v>
      </c>
      <c r="D4220" s="3" t="s">
        <v>33</v>
      </c>
      <c r="E4220" s="3" t="s">
        <v>6704</v>
      </c>
      <c r="F4220" s="4">
        <v>43907.7</v>
      </c>
      <c r="G4220" s="3" t="s">
        <v>945</v>
      </c>
      <c r="H4220" s="3" t="s">
        <v>6703</v>
      </c>
      <c r="I4220" s="3" t="s">
        <v>7043</v>
      </c>
      <c r="J4220" s="3"/>
      <c r="K4220" s="3"/>
      <c r="L4220" s="5"/>
    </row>
    <row r="4221" spans="1:12" ht="28.8" x14ac:dyDescent="0.55000000000000004">
      <c r="A4221" s="9" t="str">
        <f>HYPERLINK("PDF\FOIA-FWS-2020-00724-0004220.pdf","FOIA-FWS-2020-00724-0004220")</f>
        <v>FOIA-FWS-2020-00724-0004220</v>
      </c>
      <c r="B4221" s="3" t="s">
        <v>6702</v>
      </c>
      <c r="C4221" s="3" t="s">
        <v>234</v>
      </c>
      <c r="D4221" s="3" t="s">
        <v>33</v>
      </c>
      <c r="E4221" s="3" t="s">
        <v>6705</v>
      </c>
      <c r="F4221" s="4">
        <v>43907.7</v>
      </c>
      <c r="G4221" s="3"/>
      <c r="H4221" s="3"/>
      <c r="I4221" s="3" t="s">
        <v>7043</v>
      </c>
      <c r="J4221" s="3"/>
      <c r="K4221" s="3"/>
      <c r="L4221" s="5"/>
    </row>
    <row r="4222" spans="1:12" ht="28.8" x14ac:dyDescent="0.55000000000000004">
      <c r="A4222" s="9" t="str">
        <f>HYPERLINK("PDF\FOIA-FWS-2020-00724-0004221.pdf","FOIA-FWS-2020-00724-0004221")</f>
        <v>FOIA-FWS-2020-00724-0004221</v>
      </c>
      <c r="B4222" s="3" t="s">
        <v>6706</v>
      </c>
      <c r="C4222" s="3" t="s">
        <v>3</v>
      </c>
      <c r="D4222" s="3" t="s">
        <v>33</v>
      </c>
      <c r="E4222" s="3" t="s">
        <v>6707</v>
      </c>
      <c r="F4222" s="4">
        <v>43907.726388888892</v>
      </c>
      <c r="G4222" s="3" t="s">
        <v>1119</v>
      </c>
      <c r="H4222" s="3" t="s">
        <v>5934</v>
      </c>
      <c r="I4222" s="3" t="s">
        <v>7043</v>
      </c>
      <c r="J4222" s="3"/>
      <c r="K4222" s="3"/>
      <c r="L4222" s="5"/>
    </row>
    <row r="4223" spans="1:12" ht="28.8" x14ac:dyDescent="0.55000000000000004">
      <c r="A4223" s="9" t="str">
        <f>HYPERLINK("PDF\FOIA-FWS-2020-00724-0004222.pdf","FOIA-FWS-2020-00724-0004222")</f>
        <v>FOIA-FWS-2020-00724-0004222</v>
      </c>
      <c r="B4223" s="3" t="s">
        <v>6708</v>
      </c>
      <c r="C4223" s="3" t="s">
        <v>3</v>
      </c>
      <c r="D4223" s="3" t="s">
        <v>33</v>
      </c>
      <c r="E4223" s="3" t="s">
        <v>6709</v>
      </c>
      <c r="F4223" s="4">
        <v>43907.740972222222</v>
      </c>
      <c r="G4223" s="3" t="s">
        <v>1119</v>
      </c>
      <c r="H4223" s="3" t="s">
        <v>919</v>
      </c>
      <c r="I4223" s="3" t="s">
        <v>7043</v>
      </c>
      <c r="J4223" s="3"/>
      <c r="K4223" s="3"/>
      <c r="L4223" s="5"/>
    </row>
    <row r="4224" spans="1:12" ht="28.8" x14ac:dyDescent="0.55000000000000004">
      <c r="A4224" s="9" t="str">
        <f>HYPERLINK("PDF\FOIA-FWS-2020-00724-0004223.pdf","FOIA-FWS-2020-00724-0004223")</f>
        <v>FOIA-FWS-2020-00724-0004223</v>
      </c>
      <c r="B4224" s="3" t="s">
        <v>6708</v>
      </c>
      <c r="C4224" s="3" t="s">
        <v>234</v>
      </c>
      <c r="D4224" s="3" t="s">
        <v>33</v>
      </c>
      <c r="E4224" s="3" t="s">
        <v>6710</v>
      </c>
      <c r="F4224" s="4">
        <v>43907.740972222222</v>
      </c>
      <c r="G4224" s="3"/>
      <c r="H4224" s="3"/>
      <c r="I4224" s="3" t="s">
        <v>7043</v>
      </c>
      <c r="J4224" s="3"/>
      <c r="K4224" s="3"/>
      <c r="L4224" s="5"/>
    </row>
    <row r="4225" spans="1:12" ht="28.8" x14ac:dyDescent="0.55000000000000004">
      <c r="A4225" s="9" t="str">
        <f>HYPERLINK("PDF\FOIA-FWS-2020-00724-0004224.pdf","FOIA-FWS-2020-00724-0004224")</f>
        <v>FOIA-FWS-2020-00724-0004224</v>
      </c>
      <c r="B4225" s="3" t="s">
        <v>6708</v>
      </c>
      <c r="C4225" s="3" t="s">
        <v>234</v>
      </c>
      <c r="D4225" s="3" t="s">
        <v>33</v>
      </c>
      <c r="E4225" s="3" t="s">
        <v>6127</v>
      </c>
      <c r="F4225" s="4">
        <v>43907.740972222222</v>
      </c>
      <c r="G4225" s="3"/>
      <c r="H4225" s="3"/>
      <c r="I4225" s="3" t="s">
        <v>7043</v>
      </c>
      <c r="J4225" s="3"/>
      <c r="K4225" s="3"/>
      <c r="L4225" s="5"/>
    </row>
    <row r="4226" spans="1:12" ht="28.8" x14ac:dyDescent="0.55000000000000004">
      <c r="A4226" s="9" t="str">
        <f>HYPERLINK("PDF\FOIA-FWS-2020-00724-0004225.pdf","FOIA-FWS-2020-00724-0004225")</f>
        <v>FOIA-FWS-2020-00724-0004225</v>
      </c>
      <c r="B4226" s="3" t="s">
        <v>6708</v>
      </c>
      <c r="C4226" s="3" t="s">
        <v>234</v>
      </c>
      <c r="D4226" s="3" t="s">
        <v>33</v>
      </c>
      <c r="E4226" s="3" t="s">
        <v>6128</v>
      </c>
      <c r="F4226" s="4">
        <v>43907.740972222222</v>
      </c>
      <c r="G4226" s="3"/>
      <c r="H4226" s="3"/>
      <c r="I4226" s="3" t="s">
        <v>7043</v>
      </c>
      <c r="J4226" s="3"/>
      <c r="K4226" s="3"/>
      <c r="L4226" s="5"/>
    </row>
    <row r="4227" spans="1:12" ht="28.8" x14ac:dyDescent="0.55000000000000004">
      <c r="A4227" s="9" t="str">
        <f>HYPERLINK("PDF\FOIA-FWS-2020-00724-0004226.pdf","FOIA-FWS-2020-00724-0004226")</f>
        <v>FOIA-FWS-2020-00724-0004226</v>
      </c>
      <c r="B4227" s="3" t="s">
        <v>6711</v>
      </c>
      <c r="C4227" s="3" t="s">
        <v>3</v>
      </c>
      <c r="D4227" s="3" t="s">
        <v>33</v>
      </c>
      <c r="E4227" s="3" t="s">
        <v>6712</v>
      </c>
      <c r="F4227" s="4">
        <v>43907.761111111111</v>
      </c>
      <c r="G4227" s="3" t="s">
        <v>1516</v>
      </c>
      <c r="H4227" s="3" t="s">
        <v>1119</v>
      </c>
      <c r="I4227" s="3" t="s">
        <v>7043</v>
      </c>
      <c r="J4227" s="3"/>
      <c r="K4227" s="3"/>
      <c r="L4227" s="5"/>
    </row>
    <row r="4228" spans="1:12" ht="28.8" x14ac:dyDescent="0.55000000000000004">
      <c r="A4228" s="9" t="str">
        <f>HYPERLINK("PDF\FOIA-FWS-2020-00724-0004227.pdf","FOIA-FWS-2020-00724-0004227")</f>
        <v>FOIA-FWS-2020-00724-0004227</v>
      </c>
      <c r="B4228" s="3" t="s">
        <v>6711</v>
      </c>
      <c r="C4228" s="3" t="s">
        <v>234</v>
      </c>
      <c r="D4228" s="3" t="s">
        <v>33</v>
      </c>
      <c r="E4228" s="3" t="s">
        <v>6713</v>
      </c>
      <c r="F4228" s="4">
        <v>43907.761111111111</v>
      </c>
      <c r="G4228" s="3"/>
      <c r="H4228" s="3"/>
      <c r="I4228" s="3" t="s">
        <v>7043</v>
      </c>
      <c r="J4228" s="3"/>
      <c r="K4228" s="3"/>
      <c r="L4228" s="5"/>
    </row>
    <row r="4229" spans="1:12" ht="28.8" x14ac:dyDescent="0.55000000000000004">
      <c r="A4229" s="9" t="str">
        <f>HYPERLINK("PDF\FOIA-FWS-2020-00724-0004228.pdf","FOIA-FWS-2020-00724-0004228")</f>
        <v>FOIA-FWS-2020-00724-0004228</v>
      </c>
      <c r="B4229" s="3" t="s">
        <v>6714</v>
      </c>
      <c r="C4229" s="3" t="s">
        <v>3</v>
      </c>
      <c r="D4229" s="3" t="s">
        <v>33</v>
      </c>
      <c r="E4229" s="3" t="s">
        <v>6716</v>
      </c>
      <c r="F4229" s="4">
        <v>43907.763194444444</v>
      </c>
      <c r="G4229" s="3" t="s">
        <v>963</v>
      </c>
      <c r="H4229" s="3" t="s">
        <v>6715</v>
      </c>
      <c r="I4229" s="3" t="s">
        <v>7043</v>
      </c>
      <c r="J4229" s="3"/>
      <c r="K4229" s="3"/>
      <c r="L4229" s="5"/>
    </row>
    <row r="4230" spans="1:12" ht="28.8" x14ac:dyDescent="0.55000000000000004">
      <c r="A4230" s="9" t="str">
        <f>HYPERLINK("PDF\FOIA-FWS-2020-00724-0004229.pdf","FOIA-FWS-2020-00724-0004229")</f>
        <v>FOIA-FWS-2020-00724-0004229</v>
      </c>
      <c r="B4230" s="3" t="s">
        <v>6717</v>
      </c>
      <c r="C4230" s="3" t="s">
        <v>3</v>
      </c>
      <c r="D4230" s="3" t="s">
        <v>33</v>
      </c>
      <c r="E4230" s="3" t="s">
        <v>6718</v>
      </c>
      <c r="F4230" s="4">
        <v>43907.771527777775</v>
      </c>
      <c r="G4230" s="3" t="s">
        <v>919</v>
      </c>
      <c r="H4230" s="3" t="s">
        <v>5913</v>
      </c>
      <c r="I4230" s="3" t="s">
        <v>7043</v>
      </c>
      <c r="J4230" s="3"/>
      <c r="K4230" s="3"/>
      <c r="L4230" s="5"/>
    </row>
    <row r="4231" spans="1:12" ht="43.2" x14ac:dyDescent="0.55000000000000004">
      <c r="A4231" t="s">
        <v>7031</v>
      </c>
      <c r="B4231" s="3" t="s">
        <v>6717</v>
      </c>
      <c r="C4231" s="3" t="s">
        <v>234</v>
      </c>
      <c r="D4231" s="3" t="s">
        <v>33</v>
      </c>
      <c r="E4231" s="3" t="s">
        <v>6719</v>
      </c>
      <c r="F4231" s="4">
        <v>43907.771527777775</v>
      </c>
      <c r="G4231" s="3"/>
      <c r="H4231" s="3"/>
      <c r="I4231" s="3" t="s">
        <v>7044</v>
      </c>
      <c r="J4231" s="3" t="s">
        <v>7046</v>
      </c>
      <c r="K4231" s="3"/>
      <c r="L4231" s="5"/>
    </row>
    <row r="4232" spans="1:12" ht="28.8" x14ac:dyDescent="0.55000000000000004">
      <c r="A4232" s="9" t="str">
        <f>HYPERLINK("PDF\FOIA-FWS-2020-00724-0004231.pdf","FOIA-FWS-2020-00724-0004231")</f>
        <v>FOIA-FWS-2020-00724-0004231</v>
      </c>
      <c r="B4232" s="3" t="s">
        <v>6720</v>
      </c>
      <c r="C4232" s="3" t="s">
        <v>3</v>
      </c>
      <c r="D4232" s="3" t="s">
        <v>33</v>
      </c>
      <c r="E4232" s="3" t="s">
        <v>6722</v>
      </c>
      <c r="F4232" s="4">
        <v>43907.774305555555</v>
      </c>
      <c r="G4232" s="3" t="s">
        <v>919</v>
      </c>
      <c r="H4232" s="3" t="s">
        <v>6721</v>
      </c>
      <c r="I4232" s="3" t="s">
        <v>7043</v>
      </c>
      <c r="J4232" s="3"/>
      <c r="K4232" s="3"/>
      <c r="L4232" s="5"/>
    </row>
    <row r="4233" spans="1:12" ht="28.8" x14ac:dyDescent="0.55000000000000004">
      <c r="A4233" s="9" t="str">
        <f>HYPERLINK("PDF\FOIA-FWS-2020-00724-0004232.pdf","FOIA-FWS-2020-00724-0004232")</f>
        <v>FOIA-FWS-2020-00724-0004232</v>
      </c>
      <c r="B4233" s="3" t="s">
        <v>6723</v>
      </c>
      <c r="C4233" s="3" t="s">
        <v>3</v>
      </c>
      <c r="D4233" s="3" t="s">
        <v>33</v>
      </c>
      <c r="E4233" s="3" t="s">
        <v>6724</v>
      </c>
      <c r="F4233" s="4">
        <v>43907.788194444445</v>
      </c>
      <c r="G4233" s="3" t="s">
        <v>1119</v>
      </c>
      <c r="H4233" s="3" t="s">
        <v>5934</v>
      </c>
      <c r="I4233" s="3" t="s">
        <v>7043</v>
      </c>
      <c r="J4233" s="3"/>
      <c r="K4233" s="3"/>
      <c r="L4233" s="5"/>
    </row>
    <row r="4234" spans="1:12" ht="28.8" x14ac:dyDescent="0.55000000000000004">
      <c r="A4234" s="9" t="str">
        <f>HYPERLINK("PDF\FOIA-FWS-2020-00724-0004233.pdf","FOIA-FWS-2020-00724-0004233")</f>
        <v>FOIA-FWS-2020-00724-0004233</v>
      </c>
      <c r="B4234" s="3" t="s">
        <v>6723</v>
      </c>
      <c r="C4234" s="3" t="s">
        <v>234</v>
      </c>
      <c r="D4234" s="3" t="s">
        <v>33</v>
      </c>
      <c r="E4234" s="3" t="s">
        <v>6725</v>
      </c>
      <c r="F4234" s="4">
        <v>43907.788194444445</v>
      </c>
      <c r="G4234" s="3"/>
      <c r="H4234" s="3"/>
      <c r="I4234" s="3" t="s">
        <v>7043</v>
      </c>
      <c r="J4234" s="3"/>
      <c r="K4234" s="3"/>
      <c r="L4234" s="5"/>
    </row>
    <row r="4235" spans="1:12" ht="28.8" x14ac:dyDescent="0.55000000000000004">
      <c r="A4235" s="9" t="str">
        <f>HYPERLINK("PDF\FOIA-FWS-2020-00724-0004234.pdf","FOIA-FWS-2020-00724-0004234")</f>
        <v>FOIA-FWS-2020-00724-0004234</v>
      </c>
      <c r="B4235" s="3" t="s">
        <v>6726</v>
      </c>
      <c r="C4235" s="3" t="s">
        <v>3</v>
      </c>
      <c r="D4235" s="3" t="s">
        <v>33</v>
      </c>
      <c r="E4235" s="3" t="s">
        <v>6727</v>
      </c>
      <c r="F4235" s="4">
        <v>43907.804166666669</v>
      </c>
      <c r="G4235" s="3" t="s">
        <v>919</v>
      </c>
      <c r="H4235" s="3" t="s">
        <v>945</v>
      </c>
      <c r="I4235" s="3" t="s">
        <v>7043</v>
      </c>
      <c r="J4235" s="3"/>
      <c r="K4235" s="3"/>
      <c r="L4235" s="5"/>
    </row>
    <row r="4236" spans="1:12" ht="43.2" x14ac:dyDescent="0.55000000000000004">
      <c r="A4236" t="s">
        <v>7032</v>
      </c>
      <c r="B4236" s="3" t="s">
        <v>6726</v>
      </c>
      <c r="C4236" s="3" t="s">
        <v>234</v>
      </c>
      <c r="D4236" s="3" t="s">
        <v>33</v>
      </c>
      <c r="E4236" s="3" t="s">
        <v>6728</v>
      </c>
      <c r="F4236" s="4">
        <v>43907.804166666669</v>
      </c>
      <c r="G4236" s="3"/>
      <c r="H4236" s="3"/>
      <c r="I4236" s="3" t="s">
        <v>7044</v>
      </c>
      <c r="J4236" s="3" t="s">
        <v>7046</v>
      </c>
      <c r="K4236" s="3" t="s">
        <v>7058</v>
      </c>
      <c r="L4236" s="5"/>
    </row>
    <row r="4237" spans="1:12" ht="28.8" x14ac:dyDescent="0.55000000000000004">
      <c r="A4237" s="9" t="str">
        <f>HYPERLINK("PDF\FOIA-FWS-2020-00724-0004236.pdf","FOIA-FWS-2020-00724-0004236")</f>
        <v>FOIA-FWS-2020-00724-0004236</v>
      </c>
      <c r="B4237" s="3" t="s">
        <v>6729</v>
      </c>
      <c r="C4237" s="3" t="s">
        <v>3</v>
      </c>
      <c r="D4237" s="3" t="s">
        <v>33</v>
      </c>
      <c r="E4237" s="3" t="s">
        <v>6722</v>
      </c>
      <c r="F4237" s="4">
        <v>43908.487500000003</v>
      </c>
      <c r="G4237" s="3" t="s">
        <v>2022</v>
      </c>
      <c r="H4237" s="3" t="s">
        <v>6730</v>
      </c>
      <c r="I4237" s="3" t="s">
        <v>7043</v>
      </c>
      <c r="J4237" s="3"/>
      <c r="K4237" s="3"/>
      <c r="L4237" s="5"/>
    </row>
    <row r="4238" spans="1:12" ht="43.2" x14ac:dyDescent="0.55000000000000004">
      <c r="A4238" s="9" t="str">
        <f>HYPERLINK("PDF\FOIA-FWS-2020-00724-0004237.pdf","FOIA-FWS-2020-00724-0004237")</f>
        <v>FOIA-FWS-2020-00724-0004237</v>
      </c>
      <c r="B4238" s="3" t="s">
        <v>6731</v>
      </c>
      <c r="C4238" s="3" t="s">
        <v>3</v>
      </c>
      <c r="D4238" s="3" t="s">
        <v>33</v>
      </c>
      <c r="E4238" s="3" t="s">
        <v>6733</v>
      </c>
      <c r="F4238" s="4">
        <v>43908.622916666667</v>
      </c>
      <c r="G4238" s="3" t="s">
        <v>872</v>
      </c>
      <c r="H4238" s="3" t="s">
        <v>6732</v>
      </c>
      <c r="I4238" s="3" t="s">
        <v>7043</v>
      </c>
      <c r="J4238" s="3"/>
      <c r="K4238" s="3"/>
      <c r="L4238" s="5"/>
    </row>
    <row r="4239" spans="1:12" ht="28.8" x14ac:dyDescent="0.55000000000000004">
      <c r="A4239" s="9" t="str">
        <f>HYPERLINK("PDF\FOIA-FWS-2020-00724-0004238.pdf","FOIA-FWS-2020-00724-0004238")</f>
        <v>FOIA-FWS-2020-00724-0004238</v>
      </c>
      <c r="B4239" s="3" t="s">
        <v>6734</v>
      </c>
      <c r="C4239" s="3" t="s">
        <v>3</v>
      </c>
      <c r="D4239" s="3" t="s">
        <v>33</v>
      </c>
      <c r="E4239" s="3" t="s">
        <v>6736</v>
      </c>
      <c r="F4239" s="4">
        <v>43908.71875</v>
      </c>
      <c r="G4239" s="3" t="s">
        <v>872</v>
      </c>
      <c r="H4239" s="3" t="s">
        <v>945</v>
      </c>
      <c r="I4239" s="3" t="s">
        <v>7043</v>
      </c>
      <c r="J4239" s="3"/>
      <c r="K4239" s="3"/>
      <c r="L4239" s="5"/>
    </row>
    <row r="4240" spans="1:12" ht="43.2" x14ac:dyDescent="0.55000000000000004">
      <c r="A4240" t="s">
        <v>6735</v>
      </c>
      <c r="B4240" s="3" t="s">
        <v>6734</v>
      </c>
      <c r="C4240" s="3" t="s">
        <v>234</v>
      </c>
      <c r="D4240" s="3" t="s">
        <v>33</v>
      </c>
      <c r="E4240" s="3" t="s">
        <v>6737</v>
      </c>
      <c r="F4240" s="4">
        <v>43908.71875</v>
      </c>
      <c r="G4240" s="3"/>
      <c r="H4240" s="3"/>
      <c r="I4240" s="3" t="s">
        <v>7044</v>
      </c>
      <c r="J4240" s="3" t="s">
        <v>7046</v>
      </c>
      <c r="K4240" s="3"/>
      <c r="L4240" s="5"/>
    </row>
    <row r="4241" spans="1:12" ht="28.8" x14ac:dyDescent="0.55000000000000004">
      <c r="A4241" s="9" t="str">
        <f>HYPERLINK("PDF\FOIA-FWS-2020-00724-0004240.pdf","FOIA-FWS-2020-00724-0004240")</f>
        <v>FOIA-FWS-2020-00724-0004240</v>
      </c>
      <c r="B4241" s="3" t="s">
        <v>6738</v>
      </c>
      <c r="C4241" s="3" t="s">
        <v>3</v>
      </c>
      <c r="D4241" s="3" t="s">
        <v>33</v>
      </c>
      <c r="E4241" s="3" t="s">
        <v>6739</v>
      </c>
      <c r="F4241" s="4">
        <v>43908.814583333333</v>
      </c>
      <c r="G4241" s="3" t="s">
        <v>945</v>
      </c>
      <c r="H4241" s="3" t="s">
        <v>852</v>
      </c>
      <c r="I4241" s="3" t="s">
        <v>7043</v>
      </c>
      <c r="J4241" s="3"/>
      <c r="K4241" s="3"/>
      <c r="L4241" s="5"/>
    </row>
    <row r="4242" spans="1:12" ht="28.8" x14ac:dyDescent="0.55000000000000004">
      <c r="A4242" s="9" t="str">
        <f>HYPERLINK("PDF\FOIA-FWS-2020-00724-0004241.pdf","FOIA-FWS-2020-00724-0004241")</f>
        <v>FOIA-FWS-2020-00724-0004241</v>
      </c>
      <c r="B4242" s="3" t="s">
        <v>6738</v>
      </c>
      <c r="C4242" s="3" t="s">
        <v>234</v>
      </c>
      <c r="D4242" s="3" t="s">
        <v>33</v>
      </c>
      <c r="E4242" s="3" t="s">
        <v>6740</v>
      </c>
      <c r="F4242" s="4">
        <v>43908.814583333333</v>
      </c>
      <c r="G4242" s="3"/>
      <c r="H4242" s="3"/>
      <c r="I4242" s="3" t="s">
        <v>7043</v>
      </c>
      <c r="J4242" s="3"/>
      <c r="K4242" s="3"/>
      <c r="L4242" s="5"/>
    </row>
    <row r="4243" spans="1:12" ht="28.8" x14ac:dyDescent="0.55000000000000004">
      <c r="A4243" s="9" t="str">
        <f>HYPERLINK("PDF\FOIA-FWS-2020-00724-0004242.pdf","FOIA-FWS-2020-00724-0004242")</f>
        <v>FOIA-FWS-2020-00724-0004242</v>
      </c>
      <c r="B4243" s="3" t="s">
        <v>6741</v>
      </c>
      <c r="C4243" s="3" t="s">
        <v>3</v>
      </c>
      <c r="D4243" s="3" t="s">
        <v>33</v>
      </c>
      <c r="E4243" s="3" t="s">
        <v>6742</v>
      </c>
      <c r="F4243" s="4">
        <v>43909.705555555556</v>
      </c>
      <c r="G4243" s="3" t="s">
        <v>945</v>
      </c>
      <c r="H4243" s="3" t="s">
        <v>852</v>
      </c>
      <c r="I4243" s="3" t="s">
        <v>7043</v>
      </c>
      <c r="J4243" s="3"/>
      <c r="K4243" s="3"/>
      <c r="L4243" s="5"/>
    </row>
    <row r="4244" spans="1:12" ht="28.8" x14ac:dyDescent="0.55000000000000004">
      <c r="A4244" s="9" t="str">
        <f>HYPERLINK("PDF\FOIA-FWS-2020-00724-0004243.pdf","FOIA-FWS-2020-00724-0004243")</f>
        <v>FOIA-FWS-2020-00724-0004243</v>
      </c>
      <c r="B4244" s="3" t="s">
        <v>6741</v>
      </c>
      <c r="C4244" s="3" t="s">
        <v>234</v>
      </c>
      <c r="D4244" s="3" t="s">
        <v>33</v>
      </c>
      <c r="E4244" s="3" t="s">
        <v>6743</v>
      </c>
      <c r="F4244" s="4">
        <v>43909.705555555556</v>
      </c>
      <c r="G4244" s="3"/>
      <c r="H4244" s="3"/>
      <c r="I4244" s="3" t="s">
        <v>7043</v>
      </c>
      <c r="J4244" s="3"/>
      <c r="K4244" s="3"/>
      <c r="L4244" s="5"/>
    </row>
    <row r="4245" spans="1:12" ht="28.8" x14ac:dyDescent="0.55000000000000004">
      <c r="A4245" s="9" t="str">
        <f>HYPERLINK("PDF\FOIA-FWS-2020-00724-0004244.pdf","FOIA-FWS-2020-00724-0004244")</f>
        <v>FOIA-FWS-2020-00724-0004244</v>
      </c>
      <c r="B4245" s="3" t="s">
        <v>6741</v>
      </c>
      <c r="C4245" s="3" t="s">
        <v>234</v>
      </c>
      <c r="D4245" s="3" t="s">
        <v>33</v>
      </c>
      <c r="E4245" s="3" t="s">
        <v>6744</v>
      </c>
      <c r="F4245" s="4">
        <v>43909.705555555556</v>
      </c>
      <c r="G4245" s="3"/>
      <c r="H4245" s="3"/>
      <c r="I4245" s="3" t="s">
        <v>7043</v>
      </c>
      <c r="J4245" s="3"/>
      <c r="K4245" s="3"/>
      <c r="L4245" s="5"/>
    </row>
    <row r="4246" spans="1:12" ht="28.8" x14ac:dyDescent="0.55000000000000004">
      <c r="A4246" s="9" t="str">
        <f>HYPERLINK("PDF\FOIA-FWS-2020-00724-0004245.pdf","FOIA-FWS-2020-00724-0004245")</f>
        <v>FOIA-FWS-2020-00724-0004245</v>
      </c>
      <c r="B4246" s="3" t="s">
        <v>6745</v>
      </c>
      <c r="C4246" s="3" t="s">
        <v>3</v>
      </c>
      <c r="D4246" s="3" t="s">
        <v>33</v>
      </c>
      <c r="E4246" s="3" t="s">
        <v>6746</v>
      </c>
      <c r="F4246" s="4">
        <v>43910</v>
      </c>
      <c r="G4246" s="3"/>
      <c r="H4246" s="3"/>
      <c r="I4246" s="3" t="s">
        <v>7043</v>
      </c>
      <c r="J4246" s="3"/>
      <c r="K4246" s="3"/>
      <c r="L4246" s="5"/>
    </row>
    <row r="4247" spans="1:12" ht="28.8" x14ac:dyDescent="0.55000000000000004">
      <c r="A4247" s="9" t="str">
        <f>HYPERLINK("PDF\FOIA-FWS-2020-00724-0004246.pdf","FOIA-FWS-2020-00724-0004246")</f>
        <v>FOIA-FWS-2020-00724-0004246</v>
      </c>
      <c r="B4247" s="3" t="s">
        <v>6747</v>
      </c>
      <c r="C4247" s="3" t="s">
        <v>3</v>
      </c>
      <c r="D4247" s="3" t="s">
        <v>4</v>
      </c>
      <c r="E4247" s="3" t="s">
        <v>6748</v>
      </c>
      <c r="F4247" s="4">
        <v>43910</v>
      </c>
      <c r="G4247" s="3"/>
      <c r="H4247" s="3"/>
      <c r="I4247" s="3" t="s">
        <v>7043</v>
      </c>
      <c r="J4247" s="3"/>
      <c r="K4247" s="3"/>
      <c r="L4247" s="5"/>
    </row>
    <row r="4248" spans="1:12" ht="28.8" x14ac:dyDescent="0.55000000000000004">
      <c r="A4248" s="9" t="str">
        <f>HYPERLINK("PDF\FOIA-FWS-2020-00724-0004247.pdf","FOIA-FWS-2020-00724-0004247")</f>
        <v>FOIA-FWS-2020-00724-0004247</v>
      </c>
      <c r="B4248" s="3" t="s">
        <v>6749</v>
      </c>
      <c r="C4248" s="3" t="s">
        <v>3</v>
      </c>
      <c r="D4248" s="3" t="s">
        <v>33</v>
      </c>
      <c r="E4248" s="3" t="s">
        <v>6746</v>
      </c>
      <c r="F4248" s="4">
        <v>43910</v>
      </c>
      <c r="G4248" s="3"/>
      <c r="H4248" s="3"/>
      <c r="I4248" s="3" t="s">
        <v>7043</v>
      </c>
      <c r="J4248" s="3"/>
      <c r="K4248" s="3"/>
      <c r="L4248" s="5"/>
    </row>
    <row r="4249" spans="1:12" ht="28.8" x14ac:dyDescent="0.55000000000000004">
      <c r="A4249" s="9" t="str">
        <f>HYPERLINK("PDF\FOIA-FWS-2020-00724-0004248.pdf","FOIA-FWS-2020-00724-0004248")</f>
        <v>FOIA-FWS-2020-00724-0004248</v>
      </c>
      <c r="B4249" s="3" t="s">
        <v>6750</v>
      </c>
      <c r="C4249" s="3" t="s">
        <v>3</v>
      </c>
      <c r="D4249" s="3" t="s">
        <v>33</v>
      </c>
      <c r="E4249" s="3" t="s">
        <v>6751</v>
      </c>
      <c r="F4249" s="4">
        <v>43910</v>
      </c>
      <c r="G4249" s="3"/>
      <c r="H4249" s="3"/>
      <c r="I4249" s="3" t="s">
        <v>7043</v>
      </c>
      <c r="J4249" s="3"/>
      <c r="K4249" s="3"/>
      <c r="L4249" s="5"/>
    </row>
    <row r="4250" spans="1:12" ht="28.8" x14ac:dyDescent="0.55000000000000004">
      <c r="A4250" s="9" t="str">
        <f>HYPERLINK("PDF\FOIA-FWS-2020-00724-0004249.pdf","FOIA-FWS-2020-00724-0004249")</f>
        <v>FOIA-FWS-2020-00724-0004249</v>
      </c>
      <c r="B4250" s="3" t="s">
        <v>6752</v>
      </c>
      <c r="C4250" s="3" t="s">
        <v>3</v>
      </c>
      <c r="D4250" s="3" t="s">
        <v>33</v>
      </c>
      <c r="E4250" s="3" t="s">
        <v>6753</v>
      </c>
      <c r="F4250" s="4">
        <v>43910.587500000001</v>
      </c>
      <c r="G4250" s="3" t="s">
        <v>945</v>
      </c>
      <c r="H4250" s="3" t="s">
        <v>852</v>
      </c>
      <c r="I4250" s="3" t="s">
        <v>7043</v>
      </c>
      <c r="J4250" s="3"/>
      <c r="K4250" s="3"/>
      <c r="L4250" s="5"/>
    </row>
    <row r="4251" spans="1:12" ht="28.8" x14ac:dyDescent="0.55000000000000004">
      <c r="A4251" s="9" t="str">
        <f>HYPERLINK("PDF\FOIA-FWS-2020-00724-0004250.pdf","FOIA-FWS-2020-00724-0004250")</f>
        <v>FOIA-FWS-2020-00724-0004250</v>
      </c>
      <c r="B4251" s="3" t="s">
        <v>6752</v>
      </c>
      <c r="C4251" s="3" t="s">
        <v>234</v>
      </c>
      <c r="D4251" s="3" t="s">
        <v>33</v>
      </c>
      <c r="E4251" s="3" t="s">
        <v>6754</v>
      </c>
      <c r="F4251" s="4">
        <v>43910.587500000001</v>
      </c>
      <c r="G4251" s="3"/>
      <c r="H4251" s="3"/>
      <c r="I4251" s="3" t="s">
        <v>7043</v>
      </c>
      <c r="J4251" s="3"/>
      <c r="K4251" s="3"/>
      <c r="L4251" s="5"/>
    </row>
    <row r="4252" spans="1:12" ht="28.8" x14ac:dyDescent="0.55000000000000004">
      <c r="A4252" s="9" t="str">
        <f>HYPERLINK("PDF\FOIA-FWS-2020-00724-0004251.pdf","FOIA-FWS-2020-00724-0004251")</f>
        <v>FOIA-FWS-2020-00724-0004251</v>
      </c>
      <c r="B4252" s="3" t="s">
        <v>6752</v>
      </c>
      <c r="C4252" s="3" t="s">
        <v>234</v>
      </c>
      <c r="D4252" s="3" t="s">
        <v>33</v>
      </c>
      <c r="E4252" s="3" t="s">
        <v>6755</v>
      </c>
      <c r="F4252" s="4">
        <v>43910.587500000001</v>
      </c>
      <c r="G4252" s="3"/>
      <c r="H4252" s="3"/>
      <c r="I4252" s="3" t="s">
        <v>7043</v>
      </c>
      <c r="J4252" s="3"/>
      <c r="K4252" s="3"/>
      <c r="L4252" s="5"/>
    </row>
    <row r="4253" spans="1:12" ht="28.8" x14ac:dyDescent="0.55000000000000004">
      <c r="A4253" s="9" t="str">
        <f>HYPERLINK("PDF\FOIA-FWS-2020-00724-0004252.pdf","FOIA-FWS-2020-00724-0004252")</f>
        <v>FOIA-FWS-2020-00724-0004252</v>
      </c>
      <c r="B4253" s="3" t="s">
        <v>6756</v>
      </c>
      <c r="C4253" s="3" t="s">
        <v>3</v>
      </c>
      <c r="D4253" s="3" t="s">
        <v>33</v>
      </c>
      <c r="E4253" s="3" t="s">
        <v>6758</v>
      </c>
      <c r="F4253" s="4">
        <v>43911.092361111114</v>
      </c>
      <c r="G4253" s="3" t="s">
        <v>963</v>
      </c>
      <c r="H4253" s="3" t="s">
        <v>6757</v>
      </c>
      <c r="I4253" s="3" t="s">
        <v>7043</v>
      </c>
      <c r="J4253" s="3"/>
      <c r="K4253" s="3"/>
      <c r="L4253" s="5"/>
    </row>
    <row r="4254" spans="1:12" ht="28.8" x14ac:dyDescent="0.55000000000000004">
      <c r="A4254" s="9" t="str">
        <f>HYPERLINK("PDF\FOIA-FWS-2020-00724-0004253.pdf","FOIA-FWS-2020-00724-0004253")</f>
        <v>FOIA-FWS-2020-00724-0004253</v>
      </c>
      <c r="B4254" s="3" t="s">
        <v>6759</v>
      </c>
      <c r="C4254" s="3" t="s">
        <v>3</v>
      </c>
      <c r="D4254" s="3" t="s">
        <v>33</v>
      </c>
      <c r="E4254" s="3" t="s">
        <v>6761</v>
      </c>
      <c r="F4254" s="4">
        <v>43911.509722222225</v>
      </c>
      <c r="G4254" s="3" t="s">
        <v>963</v>
      </c>
      <c r="H4254" s="3" t="s">
        <v>6760</v>
      </c>
      <c r="I4254" s="3" t="s">
        <v>7043</v>
      </c>
      <c r="J4254" s="3"/>
      <c r="K4254" s="3"/>
      <c r="L4254" s="5"/>
    </row>
    <row r="4255" spans="1:12" ht="28.8" x14ac:dyDescent="0.55000000000000004">
      <c r="A4255" s="9" t="str">
        <f>HYPERLINK("PDF\FOIA-FWS-2020-00724-0004254.pdf","FOIA-FWS-2020-00724-0004254")</f>
        <v>FOIA-FWS-2020-00724-0004254</v>
      </c>
      <c r="B4255" s="3" t="s">
        <v>6762</v>
      </c>
      <c r="C4255" s="3" t="s">
        <v>3</v>
      </c>
      <c r="D4255" s="3" t="s">
        <v>33</v>
      </c>
      <c r="E4255" s="3" t="s">
        <v>6764</v>
      </c>
      <c r="F4255" s="4">
        <v>43911.618055555555</v>
      </c>
      <c r="G4255" s="3" t="s">
        <v>872</v>
      </c>
      <c r="H4255" s="3" t="s">
        <v>6763</v>
      </c>
      <c r="I4255" s="3" t="s">
        <v>7043</v>
      </c>
      <c r="J4255" s="3"/>
      <c r="K4255" s="3"/>
      <c r="L4255" s="5"/>
    </row>
    <row r="4256" spans="1:12" ht="28.8" x14ac:dyDescent="0.55000000000000004">
      <c r="A4256" s="9" t="str">
        <f>HYPERLINK("PDF\FOIA-FWS-2020-00724-0004255.pdf","FOIA-FWS-2020-00724-0004255")</f>
        <v>FOIA-FWS-2020-00724-0004255</v>
      </c>
      <c r="B4256" s="3" t="s">
        <v>6765</v>
      </c>
      <c r="C4256" s="3" t="s">
        <v>3</v>
      </c>
      <c r="D4256" s="3" t="s">
        <v>33</v>
      </c>
      <c r="E4256" s="3" t="s">
        <v>6766</v>
      </c>
      <c r="F4256" s="4">
        <v>43913</v>
      </c>
      <c r="G4256" s="3"/>
      <c r="H4256" s="3"/>
      <c r="I4256" s="3" t="s">
        <v>7043</v>
      </c>
      <c r="J4256" s="3"/>
      <c r="K4256" s="3"/>
      <c r="L4256" s="5"/>
    </row>
    <row r="4257" spans="1:12" ht="28.8" x14ac:dyDescent="0.55000000000000004">
      <c r="A4257" s="9" t="str">
        <f>HYPERLINK("PDF\FOIA-FWS-2020-00724-0004256.pdf","FOIA-FWS-2020-00724-0004256")</f>
        <v>FOIA-FWS-2020-00724-0004256</v>
      </c>
      <c r="B4257" s="3" t="s">
        <v>6767</v>
      </c>
      <c r="C4257" s="3" t="s">
        <v>3</v>
      </c>
      <c r="D4257" s="3" t="s">
        <v>33</v>
      </c>
      <c r="E4257" s="3" t="s">
        <v>6768</v>
      </c>
      <c r="F4257" s="4">
        <v>43913</v>
      </c>
      <c r="G4257" s="3"/>
      <c r="H4257" s="3"/>
      <c r="I4257" s="3" t="s">
        <v>7043</v>
      </c>
      <c r="J4257" s="3"/>
      <c r="K4257" s="3"/>
      <c r="L4257" s="5"/>
    </row>
    <row r="4258" spans="1:12" ht="28.8" x14ac:dyDescent="0.55000000000000004">
      <c r="A4258" s="9" t="str">
        <f>HYPERLINK("PDF\FOIA-FWS-2020-00724-0004257.pdf","FOIA-FWS-2020-00724-0004257")</f>
        <v>FOIA-FWS-2020-00724-0004257</v>
      </c>
      <c r="B4258" s="3" t="s">
        <v>6769</v>
      </c>
      <c r="C4258" s="3" t="s">
        <v>3</v>
      </c>
      <c r="D4258" s="3" t="s">
        <v>33</v>
      </c>
      <c r="E4258" s="3" t="s">
        <v>6770</v>
      </c>
      <c r="F4258" s="4">
        <v>43913</v>
      </c>
      <c r="G4258" s="3"/>
      <c r="H4258" s="3"/>
      <c r="I4258" s="3" t="s">
        <v>7043</v>
      </c>
      <c r="J4258" s="3"/>
      <c r="K4258" s="3"/>
      <c r="L4258" s="5"/>
    </row>
    <row r="4259" spans="1:12" ht="28.8" x14ac:dyDescent="0.55000000000000004">
      <c r="A4259" s="9" t="str">
        <f>HYPERLINK("PDF\FOIA-FWS-2020-00724-0004258.pdf","FOIA-FWS-2020-00724-0004258")</f>
        <v>FOIA-FWS-2020-00724-0004258</v>
      </c>
      <c r="B4259" s="3" t="s">
        <v>6771</v>
      </c>
      <c r="C4259" s="3" t="s">
        <v>3</v>
      </c>
      <c r="D4259" s="3" t="s">
        <v>33</v>
      </c>
      <c r="E4259" s="3" t="s">
        <v>6772</v>
      </c>
      <c r="F4259" s="4">
        <v>43913</v>
      </c>
      <c r="G4259" s="3"/>
      <c r="H4259" s="3"/>
      <c r="I4259" s="3" t="s">
        <v>7043</v>
      </c>
      <c r="J4259" s="3"/>
      <c r="K4259" s="3"/>
      <c r="L4259" s="5"/>
    </row>
    <row r="4260" spans="1:12" ht="28.8" x14ac:dyDescent="0.55000000000000004">
      <c r="A4260" s="9" t="str">
        <f>HYPERLINK("PDF\FOIA-FWS-2020-00724-0004259.pdf","FOIA-FWS-2020-00724-0004259")</f>
        <v>FOIA-FWS-2020-00724-0004259</v>
      </c>
      <c r="B4260" s="3" t="s">
        <v>6773</v>
      </c>
      <c r="C4260" s="3" t="s">
        <v>3</v>
      </c>
      <c r="D4260" s="3" t="s">
        <v>33</v>
      </c>
      <c r="E4260" s="3" t="s">
        <v>6774</v>
      </c>
      <c r="F4260" s="4">
        <v>43913</v>
      </c>
      <c r="G4260" s="3"/>
      <c r="H4260" s="3"/>
      <c r="I4260" s="3" t="s">
        <v>7043</v>
      </c>
      <c r="J4260" s="3"/>
      <c r="K4260" s="3"/>
      <c r="L4260" s="5"/>
    </row>
    <row r="4261" spans="1:12" ht="28.8" x14ac:dyDescent="0.55000000000000004">
      <c r="A4261" s="9" t="str">
        <f>HYPERLINK("PDF\FOIA-FWS-2020-00724-0004260.pdf","FOIA-FWS-2020-00724-0004260")</f>
        <v>FOIA-FWS-2020-00724-0004260</v>
      </c>
      <c r="B4261" s="3" t="s">
        <v>6775</v>
      </c>
      <c r="C4261" s="3" t="s">
        <v>3</v>
      </c>
      <c r="D4261" s="3" t="s">
        <v>33</v>
      </c>
      <c r="E4261" s="3" t="s">
        <v>6776</v>
      </c>
      <c r="F4261" s="4">
        <v>43913.543749999997</v>
      </c>
      <c r="G4261" s="3" t="s">
        <v>945</v>
      </c>
      <c r="H4261" s="3" t="s">
        <v>6285</v>
      </c>
      <c r="I4261" s="3" t="s">
        <v>7043</v>
      </c>
      <c r="J4261" s="3"/>
      <c r="K4261" s="3"/>
      <c r="L4261" s="5"/>
    </row>
    <row r="4262" spans="1:12" ht="28.8" x14ac:dyDescent="0.55000000000000004">
      <c r="A4262" s="9" t="str">
        <f>HYPERLINK("PDF\FOIA-FWS-2020-00724-0004261.pdf","FOIA-FWS-2020-00724-0004261")</f>
        <v>FOIA-FWS-2020-00724-0004261</v>
      </c>
      <c r="B4262" s="3" t="s">
        <v>6777</v>
      </c>
      <c r="C4262" s="3" t="s">
        <v>3</v>
      </c>
      <c r="D4262" s="3" t="s">
        <v>33</v>
      </c>
      <c r="E4262" s="3" t="s">
        <v>6778</v>
      </c>
      <c r="F4262" s="4">
        <v>43914.841666666667</v>
      </c>
      <c r="G4262" s="3" t="s">
        <v>1012</v>
      </c>
      <c r="H4262" s="3" t="s">
        <v>6431</v>
      </c>
      <c r="I4262" s="3" t="s">
        <v>7043</v>
      </c>
      <c r="J4262" s="3"/>
      <c r="K4262" s="3"/>
      <c r="L4262" s="5"/>
    </row>
    <row r="4263" spans="1:12" ht="28.8" x14ac:dyDescent="0.55000000000000004">
      <c r="A4263" s="9" t="str">
        <f>HYPERLINK("PDF\FOIA-FWS-2020-00724-0004262.pdf","FOIA-FWS-2020-00724-0004262")</f>
        <v>FOIA-FWS-2020-00724-0004262</v>
      </c>
      <c r="B4263" s="3" t="s">
        <v>6779</v>
      </c>
      <c r="C4263" s="3" t="s">
        <v>3</v>
      </c>
      <c r="D4263" s="3" t="s">
        <v>33</v>
      </c>
      <c r="E4263" s="3" t="s">
        <v>6778</v>
      </c>
      <c r="F4263" s="4">
        <v>43915.11041666667</v>
      </c>
      <c r="G4263" s="3" t="s">
        <v>1012</v>
      </c>
      <c r="H4263" s="3" t="s">
        <v>6431</v>
      </c>
      <c r="I4263" s="3" t="s">
        <v>7043</v>
      </c>
      <c r="J4263" s="3"/>
      <c r="K4263" s="3"/>
      <c r="L4263" s="5"/>
    </row>
    <row r="4264" spans="1:12" ht="43.2" x14ac:dyDescent="0.55000000000000004">
      <c r="A4264" s="9" t="str">
        <f>HYPERLINK("PDF\FOIA-FWS-2020-00724-0004263.pdf","FOIA-FWS-2020-00724-0004263")</f>
        <v>FOIA-FWS-2020-00724-0004263</v>
      </c>
      <c r="B4264" s="3" t="s">
        <v>6780</v>
      </c>
      <c r="C4264" s="3" t="s">
        <v>3</v>
      </c>
      <c r="D4264" s="3" t="s">
        <v>33</v>
      </c>
      <c r="E4264" s="3" t="s">
        <v>6781</v>
      </c>
      <c r="F4264" s="4">
        <v>43915.432638888888</v>
      </c>
      <c r="G4264" s="3" t="s">
        <v>919</v>
      </c>
      <c r="H4264" s="3" t="s">
        <v>5913</v>
      </c>
      <c r="I4264" s="3" t="s">
        <v>7043</v>
      </c>
      <c r="J4264" s="3"/>
      <c r="K4264" s="3"/>
      <c r="L4264" s="5"/>
    </row>
    <row r="4265" spans="1:12" ht="28.8" x14ac:dyDescent="0.55000000000000004">
      <c r="A4265" s="9" t="str">
        <f>HYPERLINK("PDF\FOIA-FWS-2020-00724-0004264.pdf","FOIA-FWS-2020-00724-0004264")</f>
        <v>FOIA-FWS-2020-00724-0004264</v>
      </c>
      <c r="B4265" s="3" t="s">
        <v>6780</v>
      </c>
      <c r="C4265" s="3" t="s">
        <v>234</v>
      </c>
      <c r="D4265" s="3" t="s">
        <v>33</v>
      </c>
      <c r="E4265" s="3" t="s">
        <v>6782</v>
      </c>
      <c r="F4265" s="4">
        <v>43915.432638888888</v>
      </c>
      <c r="G4265" s="3"/>
      <c r="H4265" s="3"/>
      <c r="I4265" s="3" t="s">
        <v>7043</v>
      </c>
      <c r="J4265" s="3"/>
      <c r="K4265" s="3"/>
      <c r="L4265" s="5"/>
    </row>
    <row r="4266" spans="1:12" ht="28.8" x14ac:dyDescent="0.55000000000000004">
      <c r="A4266" s="9" t="str">
        <f>HYPERLINK("PDF\FOIA-FWS-2020-00724-0004265.pdf","FOIA-FWS-2020-00724-0004265")</f>
        <v>FOIA-FWS-2020-00724-0004265</v>
      </c>
      <c r="B4266" s="3" t="s">
        <v>6783</v>
      </c>
      <c r="C4266" s="3" t="s">
        <v>3</v>
      </c>
      <c r="D4266" s="3" t="s">
        <v>33</v>
      </c>
      <c r="E4266" s="3" t="s">
        <v>6784</v>
      </c>
      <c r="F4266" s="4">
        <v>43915.488194444442</v>
      </c>
      <c r="G4266" s="3" t="s">
        <v>1119</v>
      </c>
      <c r="H4266" s="3" t="s">
        <v>3061</v>
      </c>
      <c r="I4266" s="3" t="s">
        <v>7043</v>
      </c>
      <c r="J4266" s="3"/>
      <c r="K4266" s="3"/>
      <c r="L4266" s="5"/>
    </row>
    <row r="4267" spans="1:12" ht="28.8" x14ac:dyDescent="0.55000000000000004">
      <c r="A4267" s="9" t="str">
        <f>HYPERLINK("PDF\FOIA-FWS-2020-00724-0004266.pdf","FOIA-FWS-2020-00724-0004266")</f>
        <v>FOIA-FWS-2020-00724-0004266</v>
      </c>
      <c r="B4267" s="3" t="s">
        <v>6783</v>
      </c>
      <c r="C4267" s="3" t="s">
        <v>234</v>
      </c>
      <c r="D4267" s="3" t="s">
        <v>33</v>
      </c>
      <c r="E4267" s="3" t="s">
        <v>6785</v>
      </c>
      <c r="F4267" s="4">
        <v>43915.488194444442</v>
      </c>
      <c r="G4267" s="3"/>
      <c r="H4267" s="3"/>
      <c r="I4267" s="3" t="s">
        <v>7043</v>
      </c>
      <c r="J4267" s="3"/>
      <c r="K4267" s="3"/>
      <c r="L4267" s="5"/>
    </row>
    <row r="4268" spans="1:12" ht="28.8" x14ac:dyDescent="0.55000000000000004">
      <c r="A4268" s="9" t="str">
        <f>HYPERLINK("PDF\FOIA-FWS-2020-00724-0004267.pdf","FOIA-FWS-2020-00724-0004267")</f>
        <v>FOIA-FWS-2020-00724-0004267</v>
      </c>
      <c r="B4268" s="3" t="s">
        <v>6786</v>
      </c>
      <c r="C4268" s="3" t="s">
        <v>3</v>
      </c>
      <c r="D4268" s="3" t="s">
        <v>33</v>
      </c>
      <c r="E4268" s="3" t="s">
        <v>6787</v>
      </c>
      <c r="F4268" s="4">
        <v>43915.510416666664</v>
      </c>
      <c r="G4268" s="3" t="s">
        <v>872</v>
      </c>
      <c r="H4268" s="3" t="s">
        <v>5881</v>
      </c>
      <c r="I4268" s="3" t="s">
        <v>7043</v>
      </c>
      <c r="J4268" s="3"/>
      <c r="K4268" s="3"/>
      <c r="L4268" s="5"/>
    </row>
    <row r="4269" spans="1:12" ht="28.8" x14ac:dyDescent="0.55000000000000004">
      <c r="A4269" s="9" t="str">
        <f>HYPERLINK("PDF\FOIA-FWS-2020-00724-0004268.pdf","FOIA-FWS-2020-00724-0004268")</f>
        <v>FOIA-FWS-2020-00724-0004268</v>
      </c>
      <c r="B4269" s="3" t="s">
        <v>6788</v>
      </c>
      <c r="C4269" s="3" t="s">
        <v>3</v>
      </c>
      <c r="D4269" s="3" t="s">
        <v>33</v>
      </c>
      <c r="E4269" s="3" t="s">
        <v>6789</v>
      </c>
      <c r="F4269" s="4">
        <v>43915.850694444445</v>
      </c>
      <c r="G4269" s="3" t="s">
        <v>872</v>
      </c>
      <c r="H4269" s="3" t="s">
        <v>919</v>
      </c>
      <c r="I4269" s="3" t="s">
        <v>7043</v>
      </c>
      <c r="J4269" s="3"/>
      <c r="K4269" s="3"/>
      <c r="L4269" s="5"/>
    </row>
    <row r="4270" spans="1:12" ht="28.8" x14ac:dyDescent="0.55000000000000004">
      <c r="A4270" s="9" t="str">
        <f>HYPERLINK("PDF\FOIA-FWS-2020-00724-0004269.pdf","FOIA-FWS-2020-00724-0004269")</f>
        <v>FOIA-FWS-2020-00724-0004269</v>
      </c>
      <c r="B4270" s="3" t="s">
        <v>6788</v>
      </c>
      <c r="C4270" s="3" t="s">
        <v>234</v>
      </c>
      <c r="D4270" s="3" t="s">
        <v>160</v>
      </c>
      <c r="E4270" s="3" t="s">
        <v>6790</v>
      </c>
      <c r="F4270" s="4">
        <v>43915.850694444445</v>
      </c>
      <c r="G4270" s="3"/>
      <c r="H4270" s="3"/>
      <c r="I4270" s="3" t="s">
        <v>7043</v>
      </c>
      <c r="J4270" s="3"/>
      <c r="K4270" s="3"/>
      <c r="L4270" s="5" t="str">
        <f>HYPERLINK("NATIVE_FILES\FOIA-FWS-2020-00724-0004269.dbf","FOIA-FWS-2020-00724-0004269.dbf")</f>
        <v>FOIA-FWS-2020-00724-0004269.dbf</v>
      </c>
    </row>
    <row r="4271" spans="1:12" ht="28.8" x14ac:dyDescent="0.55000000000000004">
      <c r="A4271" s="9" t="str">
        <f>HYPERLINK("PDF\FOIA-FWS-2020-00724-0004270.pdf","FOIA-FWS-2020-00724-0004270")</f>
        <v>FOIA-FWS-2020-00724-0004270</v>
      </c>
      <c r="B4271" s="3" t="s">
        <v>6788</v>
      </c>
      <c r="C4271" s="3" t="s">
        <v>234</v>
      </c>
      <c r="D4271" s="3" t="s">
        <v>160</v>
      </c>
      <c r="E4271" s="3" t="s">
        <v>6791</v>
      </c>
      <c r="F4271" s="4">
        <v>43915.850694444445</v>
      </c>
      <c r="G4271" s="3"/>
      <c r="H4271" s="3"/>
      <c r="I4271" s="3" t="s">
        <v>7043</v>
      </c>
      <c r="J4271" s="3"/>
      <c r="K4271" s="3"/>
      <c r="L4271" s="5" t="str">
        <f>HYPERLINK("NATIVE_FILES\FOIA-FWS-2020-00724-0004270.prj","FOIA-FWS-2020-00724-0004270.prj")</f>
        <v>FOIA-FWS-2020-00724-0004270.prj</v>
      </c>
    </row>
    <row r="4272" spans="1:12" ht="28.8" x14ac:dyDescent="0.55000000000000004">
      <c r="A4272" s="9" t="str">
        <f>HYPERLINK("PDF\FOIA-FWS-2020-00724-0004271.pdf","FOIA-FWS-2020-00724-0004271")</f>
        <v>FOIA-FWS-2020-00724-0004271</v>
      </c>
      <c r="B4272" s="3" t="s">
        <v>6788</v>
      </c>
      <c r="C4272" s="3" t="s">
        <v>234</v>
      </c>
      <c r="D4272" s="3" t="s">
        <v>160</v>
      </c>
      <c r="E4272" s="3" t="s">
        <v>6792</v>
      </c>
      <c r="F4272" s="4">
        <v>43915.850694444445</v>
      </c>
      <c r="G4272" s="3"/>
      <c r="H4272" s="3"/>
      <c r="I4272" s="3" t="s">
        <v>7043</v>
      </c>
      <c r="J4272" s="3"/>
      <c r="K4272" s="3"/>
      <c r="L4272" s="5" t="str">
        <f>HYPERLINK("NATIVE_FILES\FOIA-FWS-2020-00724-0004271.sbn","FOIA-FWS-2020-00724-0004271.sbn")</f>
        <v>FOIA-FWS-2020-00724-0004271.sbn</v>
      </c>
    </row>
    <row r="4273" spans="1:12" ht="28.8" x14ac:dyDescent="0.55000000000000004">
      <c r="A4273" s="9" t="str">
        <f>HYPERLINK("PDF\FOIA-FWS-2020-00724-0004272.pdf","FOIA-FWS-2020-00724-0004272")</f>
        <v>FOIA-FWS-2020-00724-0004272</v>
      </c>
      <c r="B4273" s="3" t="s">
        <v>6788</v>
      </c>
      <c r="C4273" s="3" t="s">
        <v>234</v>
      </c>
      <c r="D4273" s="3" t="s">
        <v>160</v>
      </c>
      <c r="E4273" s="3" t="s">
        <v>6793</v>
      </c>
      <c r="F4273" s="4">
        <v>43915.850694444445</v>
      </c>
      <c r="G4273" s="3"/>
      <c r="H4273" s="3"/>
      <c r="I4273" s="3" t="s">
        <v>7043</v>
      </c>
      <c r="J4273" s="3"/>
      <c r="K4273" s="3"/>
      <c r="L4273" s="5" t="str">
        <f>HYPERLINK("NATIVE_FILES\FOIA-FWS-2020-00724-0004272.sbx","FOIA-FWS-2020-00724-0004272.sbx")</f>
        <v>FOIA-FWS-2020-00724-0004272.sbx</v>
      </c>
    </row>
    <row r="4274" spans="1:12" ht="28.8" x14ac:dyDescent="0.55000000000000004">
      <c r="A4274" s="9" t="str">
        <f>HYPERLINK("PDF\FOIA-FWS-2020-00724-0004273.pdf","FOIA-FWS-2020-00724-0004273")</f>
        <v>FOIA-FWS-2020-00724-0004273</v>
      </c>
      <c r="B4274" s="3" t="s">
        <v>6788</v>
      </c>
      <c r="C4274" s="3" t="s">
        <v>234</v>
      </c>
      <c r="D4274" s="3" t="s">
        <v>160</v>
      </c>
      <c r="E4274" s="3" t="s">
        <v>6794</v>
      </c>
      <c r="F4274" s="4">
        <v>43915.850694444445</v>
      </c>
      <c r="G4274" s="3"/>
      <c r="H4274" s="3"/>
      <c r="I4274" s="3" t="s">
        <v>7043</v>
      </c>
      <c r="J4274" s="3"/>
      <c r="K4274" s="3"/>
      <c r="L4274" s="5" t="str">
        <f>HYPERLINK("NATIVE_FILES\FOIA-FWS-2020-00724-0004273.shp","FOIA-FWS-2020-00724-0004273.shp")</f>
        <v>FOIA-FWS-2020-00724-0004273.shp</v>
      </c>
    </row>
    <row r="4275" spans="1:12" ht="28.8" x14ac:dyDescent="0.55000000000000004">
      <c r="A4275" s="9" t="str">
        <f>HYPERLINK("PDF\FOIA-FWS-2020-00724-0004274.pdf","FOIA-FWS-2020-00724-0004274")</f>
        <v>FOIA-FWS-2020-00724-0004274</v>
      </c>
      <c r="B4275" s="3" t="s">
        <v>6788</v>
      </c>
      <c r="C4275" s="3" t="s">
        <v>234</v>
      </c>
      <c r="D4275" s="3" t="s">
        <v>160</v>
      </c>
      <c r="E4275" s="3" t="s">
        <v>6795</v>
      </c>
      <c r="F4275" s="4">
        <v>43915.850694444445</v>
      </c>
      <c r="G4275" s="3"/>
      <c r="H4275" s="3"/>
      <c r="I4275" s="3" t="s">
        <v>7043</v>
      </c>
      <c r="J4275" s="3"/>
      <c r="K4275" s="3"/>
      <c r="L4275" s="5" t="str">
        <f>HYPERLINK("NATIVE_FILES\FOIA-FWS-2020-00724-0004274.xml","FOIA-FWS-2020-00724-0004274.xml")</f>
        <v>FOIA-FWS-2020-00724-0004274.xml</v>
      </c>
    </row>
    <row r="4276" spans="1:12" ht="28.8" x14ac:dyDescent="0.55000000000000004">
      <c r="A4276" s="9" t="str">
        <f>HYPERLINK("PDF\FOIA-FWS-2020-00724-0004275.pdf","FOIA-FWS-2020-00724-0004275")</f>
        <v>FOIA-FWS-2020-00724-0004275</v>
      </c>
      <c r="B4276" s="3" t="s">
        <v>6788</v>
      </c>
      <c r="C4276" s="3" t="s">
        <v>234</v>
      </c>
      <c r="D4276" s="3" t="s">
        <v>160</v>
      </c>
      <c r="E4276" s="3" t="s">
        <v>6796</v>
      </c>
      <c r="F4276" s="4">
        <v>43915.850694444445</v>
      </c>
      <c r="G4276" s="3"/>
      <c r="H4276" s="3"/>
      <c r="I4276" s="3" t="s">
        <v>7043</v>
      </c>
      <c r="J4276" s="3"/>
      <c r="K4276" s="3"/>
      <c r="L4276" s="5" t="str">
        <f>HYPERLINK("NATIVE_FILES\FOIA-FWS-2020-00724-0004275.shx","FOIA-FWS-2020-00724-0004275.shx")</f>
        <v>FOIA-FWS-2020-00724-0004275.shx</v>
      </c>
    </row>
    <row r="4277" spans="1:12" ht="28.8" x14ac:dyDescent="0.55000000000000004">
      <c r="A4277" s="9" t="str">
        <f>HYPERLINK("PDF\FOIA-FWS-2020-00724-0004276.pdf","FOIA-FWS-2020-00724-0004276")</f>
        <v>FOIA-FWS-2020-00724-0004276</v>
      </c>
      <c r="B4277" s="3" t="s">
        <v>6788</v>
      </c>
      <c r="C4277" s="3" t="s">
        <v>234</v>
      </c>
      <c r="D4277" s="3" t="s">
        <v>33</v>
      </c>
      <c r="E4277" s="3" t="s">
        <v>6797</v>
      </c>
      <c r="F4277" s="4">
        <v>43915.850694444445</v>
      </c>
      <c r="G4277" s="3"/>
      <c r="H4277" s="3"/>
      <c r="I4277" s="3" t="s">
        <v>7043</v>
      </c>
      <c r="J4277" s="3"/>
      <c r="K4277" s="3"/>
      <c r="L4277" s="5"/>
    </row>
    <row r="4278" spans="1:12" ht="43.2" x14ac:dyDescent="0.55000000000000004">
      <c r="A4278" t="s">
        <v>6798</v>
      </c>
      <c r="B4278" s="3" t="s">
        <v>6798</v>
      </c>
      <c r="C4278" s="3" t="s">
        <v>3</v>
      </c>
      <c r="D4278" s="3" t="s">
        <v>33</v>
      </c>
      <c r="E4278" s="3" t="s">
        <v>6800</v>
      </c>
      <c r="F4278" s="4">
        <v>43917.512499999997</v>
      </c>
      <c r="G4278" s="3" t="s">
        <v>872</v>
      </c>
      <c r="H4278" s="3" t="s">
        <v>6799</v>
      </c>
      <c r="I4278" s="3" t="s">
        <v>7044</v>
      </c>
      <c r="J4278" s="3" t="s">
        <v>7046</v>
      </c>
      <c r="K4278" s="3"/>
      <c r="L4278" s="5"/>
    </row>
    <row r="4279" spans="1:12" ht="28.8" x14ac:dyDescent="0.55000000000000004">
      <c r="A4279" s="9" t="str">
        <f>HYPERLINK("PDF\FOIA-FWS-2020-00724-0004278.pdf","FOIA-FWS-2020-00724-0004278")</f>
        <v>FOIA-FWS-2020-00724-0004278</v>
      </c>
      <c r="B4279" s="3" t="s">
        <v>6798</v>
      </c>
      <c r="C4279" s="3" t="s">
        <v>234</v>
      </c>
      <c r="D4279" s="3" t="s">
        <v>33</v>
      </c>
      <c r="E4279" s="3" t="s">
        <v>6801</v>
      </c>
      <c r="F4279" s="4">
        <v>43917.512499999997</v>
      </c>
      <c r="G4279" s="3"/>
      <c r="H4279" s="3"/>
      <c r="I4279" s="3" t="s">
        <v>7043</v>
      </c>
      <c r="J4279" s="3"/>
      <c r="K4279" s="3"/>
      <c r="L4279" s="5"/>
    </row>
    <row r="4280" spans="1:12" ht="43.2" x14ac:dyDescent="0.55000000000000004">
      <c r="A4280" t="s">
        <v>7033</v>
      </c>
      <c r="B4280" s="3" t="s">
        <v>6798</v>
      </c>
      <c r="C4280" s="3" t="s">
        <v>234</v>
      </c>
      <c r="D4280" s="3" t="s">
        <v>33</v>
      </c>
      <c r="E4280" s="3" t="s">
        <v>6802</v>
      </c>
      <c r="F4280" s="4">
        <v>43917.512499999997</v>
      </c>
      <c r="G4280" s="3"/>
      <c r="H4280" s="3"/>
      <c r="I4280" s="3" t="s">
        <v>7044</v>
      </c>
      <c r="J4280" s="3" t="s">
        <v>7046</v>
      </c>
      <c r="K4280" s="3"/>
      <c r="L4280" s="5"/>
    </row>
    <row r="4281" spans="1:12" ht="28.8" x14ac:dyDescent="0.55000000000000004">
      <c r="A4281" s="9" t="str">
        <f>HYPERLINK("PDF\FOIA-FWS-2020-00724-0004280.pdf","FOIA-FWS-2020-00724-0004280")</f>
        <v>FOIA-FWS-2020-00724-0004280</v>
      </c>
      <c r="B4281" s="3" t="s">
        <v>6803</v>
      </c>
      <c r="C4281" s="3" t="s">
        <v>3</v>
      </c>
      <c r="D4281" s="3" t="s">
        <v>33</v>
      </c>
      <c r="E4281" s="3" t="s">
        <v>6804</v>
      </c>
      <c r="F4281" s="4">
        <v>43917.561805555553</v>
      </c>
      <c r="G4281" s="3" t="s">
        <v>1034</v>
      </c>
      <c r="H4281" s="3" t="s">
        <v>872</v>
      </c>
      <c r="I4281" s="3" t="s">
        <v>7043</v>
      </c>
      <c r="J4281" s="3"/>
      <c r="K4281" s="3"/>
      <c r="L4281" s="5"/>
    </row>
    <row r="4282" spans="1:12" ht="28.8" x14ac:dyDescent="0.55000000000000004">
      <c r="A4282" s="9" t="str">
        <f>HYPERLINK("PDF\FOIA-FWS-2020-00724-0004281.pdf","FOIA-FWS-2020-00724-0004281")</f>
        <v>FOIA-FWS-2020-00724-0004281</v>
      </c>
      <c r="B4282" s="3" t="s">
        <v>6805</v>
      </c>
      <c r="C4282" s="3" t="s">
        <v>3</v>
      </c>
      <c r="D4282" s="3" t="s">
        <v>33</v>
      </c>
      <c r="E4282" s="3" t="s">
        <v>6807</v>
      </c>
      <c r="F4282" s="4">
        <v>43922.761111111111</v>
      </c>
      <c r="G4282" s="3" t="s">
        <v>1823</v>
      </c>
      <c r="H4282" s="3" t="s">
        <v>6806</v>
      </c>
      <c r="I4282" s="3" t="s">
        <v>7043</v>
      </c>
      <c r="J4282" s="3"/>
      <c r="K4282" s="3"/>
      <c r="L4282" s="5"/>
    </row>
    <row r="4283" spans="1:12" ht="28.8" x14ac:dyDescent="0.55000000000000004">
      <c r="A4283" s="9" t="str">
        <f>HYPERLINK("PDF\FOIA-FWS-2020-00724-0004282.pdf","FOIA-FWS-2020-00724-0004282")</f>
        <v>FOIA-FWS-2020-00724-0004282</v>
      </c>
      <c r="B4283" s="3" t="s">
        <v>6808</v>
      </c>
      <c r="C4283" s="3" t="s">
        <v>3</v>
      </c>
      <c r="D4283" s="3" t="s">
        <v>33</v>
      </c>
      <c r="E4283" s="3" t="s">
        <v>6809</v>
      </c>
      <c r="F4283" s="4">
        <v>43928</v>
      </c>
      <c r="G4283" s="3"/>
      <c r="H4283" s="3"/>
      <c r="I4283" s="3" t="s">
        <v>7043</v>
      </c>
      <c r="J4283" s="3"/>
      <c r="K4283" s="3"/>
      <c r="L4283" s="5"/>
    </row>
    <row r="4284" spans="1:12" ht="28.8" x14ac:dyDescent="0.55000000000000004">
      <c r="A4284" s="9" t="str">
        <f>HYPERLINK("PDF\FOIA-FWS-2020-00724-0004283.pdf","FOIA-FWS-2020-00724-0004283")</f>
        <v>FOIA-FWS-2020-00724-0004283</v>
      </c>
      <c r="B4284" s="3" t="s">
        <v>6810</v>
      </c>
      <c r="C4284" s="3" t="s">
        <v>3</v>
      </c>
      <c r="D4284" s="3" t="s">
        <v>33</v>
      </c>
      <c r="E4284" s="3" t="s">
        <v>6811</v>
      </c>
      <c r="F4284" s="4">
        <v>43941</v>
      </c>
      <c r="G4284" s="3"/>
      <c r="H4284" s="3"/>
      <c r="I4284" s="3" t="s">
        <v>7043</v>
      </c>
      <c r="J4284" s="3"/>
      <c r="K4284" s="3"/>
      <c r="L4284" s="5"/>
    </row>
    <row r="4285" spans="1:12" ht="28.8" x14ac:dyDescent="0.55000000000000004">
      <c r="A4285" s="9" t="str">
        <f>HYPERLINK("PDF\FOIA-FWS-2020-00724-0004284.pdf","FOIA-FWS-2020-00724-0004284")</f>
        <v>FOIA-FWS-2020-00724-0004284</v>
      </c>
      <c r="B4285" s="3" t="s">
        <v>6812</v>
      </c>
      <c r="C4285" s="3" t="s">
        <v>3</v>
      </c>
      <c r="D4285" s="3" t="s">
        <v>33</v>
      </c>
      <c r="E4285" s="3" t="s">
        <v>6813</v>
      </c>
      <c r="F4285" s="4">
        <v>43941.81527777778</v>
      </c>
      <c r="G4285" s="3" t="s">
        <v>1392</v>
      </c>
      <c r="H4285" s="3" t="s">
        <v>1119</v>
      </c>
      <c r="I4285" s="3" t="s">
        <v>7043</v>
      </c>
      <c r="J4285" s="3"/>
      <c r="K4285" s="3"/>
      <c r="L4285" s="5"/>
    </row>
    <row r="4286" spans="1:12" ht="28.8" x14ac:dyDescent="0.55000000000000004">
      <c r="A4286" s="9" t="str">
        <f>HYPERLINK("PDF\FOIA-FWS-2020-00724-0004285.pdf","FOIA-FWS-2020-00724-0004285")</f>
        <v>FOIA-FWS-2020-00724-0004285</v>
      </c>
      <c r="B4286" s="3" t="s">
        <v>6814</v>
      </c>
      <c r="C4286" s="3" t="s">
        <v>3</v>
      </c>
      <c r="D4286" s="3" t="s">
        <v>33</v>
      </c>
      <c r="E4286" s="3" t="s">
        <v>6815</v>
      </c>
      <c r="F4286" s="4">
        <v>43942.462500000001</v>
      </c>
      <c r="G4286" s="3" t="s">
        <v>1119</v>
      </c>
      <c r="H4286" s="3" t="s">
        <v>1392</v>
      </c>
      <c r="I4286" s="3" t="s">
        <v>7043</v>
      </c>
      <c r="J4286" s="3"/>
      <c r="K4286" s="3"/>
      <c r="L4286" s="5"/>
    </row>
    <row r="4287" spans="1:12" ht="28.8" x14ac:dyDescent="0.55000000000000004">
      <c r="A4287" s="9" t="str">
        <f>HYPERLINK("PDF\FOIA-FWS-2020-00724-0004286.pdf","FOIA-FWS-2020-00724-0004286")</f>
        <v>FOIA-FWS-2020-00724-0004286</v>
      </c>
      <c r="B4287" s="3" t="s">
        <v>6816</v>
      </c>
      <c r="C4287" s="3" t="s">
        <v>3</v>
      </c>
      <c r="D4287" s="3" t="s">
        <v>33</v>
      </c>
      <c r="E4287" s="3" t="s">
        <v>6817</v>
      </c>
      <c r="F4287" s="4">
        <v>43942.800694444442</v>
      </c>
      <c r="G4287" s="3" t="s">
        <v>945</v>
      </c>
      <c r="H4287" s="3" t="s">
        <v>5800</v>
      </c>
      <c r="I4287" s="3" t="s">
        <v>7043</v>
      </c>
      <c r="J4287" s="3"/>
      <c r="K4287" s="3"/>
      <c r="L4287" s="5"/>
    </row>
    <row r="4288" spans="1:12" ht="28.8" x14ac:dyDescent="0.55000000000000004">
      <c r="A4288" s="9" t="str">
        <f>HYPERLINK("PDF\FOIA-FWS-2020-00724-0004287.pdf","FOIA-FWS-2020-00724-0004287")</f>
        <v>FOIA-FWS-2020-00724-0004287</v>
      </c>
      <c r="B4288" s="3" t="s">
        <v>6816</v>
      </c>
      <c r="C4288" s="3" t="s">
        <v>234</v>
      </c>
      <c r="D4288" s="3" t="s">
        <v>33</v>
      </c>
      <c r="E4288" s="3" t="s">
        <v>6818</v>
      </c>
      <c r="F4288" s="4">
        <v>43942.800694444442</v>
      </c>
      <c r="G4288" s="3"/>
      <c r="H4288" s="3"/>
      <c r="I4288" s="3" t="s">
        <v>7043</v>
      </c>
      <c r="J4288" s="3"/>
      <c r="K4288" s="3"/>
      <c r="L4288" s="5"/>
    </row>
    <row r="4289" spans="1:12" ht="28.8" x14ac:dyDescent="0.55000000000000004">
      <c r="A4289" s="9" t="str">
        <f>HYPERLINK("PDF\FOIA-FWS-2020-00724-0004288.pdf","FOIA-FWS-2020-00724-0004288")</f>
        <v>FOIA-FWS-2020-00724-0004288</v>
      </c>
      <c r="B4289" s="3" t="s">
        <v>6819</v>
      </c>
      <c r="C4289" s="3" t="s">
        <v>3</v>
      </c>
      <c r="D4289" s="3" t="s">
        <v>33</v>
      </c>
      <c r="E4289" s="3" t="s">
        <v>6820</v>
      </c>
      <c r="F4289" s="4">
        <v>43943.560416666667</v>
      </c>
      <c r="G4289" s="3" t="s">
        <v>5800</v>
      </c>
      <c r="H4289" s="3" t="s">
        <v>945</v>
      </c>
      <c r="I4289" s="3" t="s">
        <v>7043</v>
      </c>
      <c r="J4289" s="3"/>
      <c r="K4289" s="3"/>
      <c r="L4289" s="5"/>
    </row>
    <row r="4290" spans="1:12" ht="28.8" x14ac:dyDescent="0.55000000000000004">
      <c r="A4290" s="9" t="str">
        <f>HYPERLINK("PDF\FOIA-FWS-2020-00724-0004289.pdf","FOIA-FWS-2020-00724-0004289")</f>
        <v>FOIA-FWS-2020-00724-0004289</v>
      </c>
      <c r="B4290" s="3" t="s">
        <v>6819</v>
      </c>
      <c r="C4290" s="3" t="s">
        <v>234</v>
      </c>
      <c r="D4290" s="3" t="s">
        <v>33</v>
      </c>
      <c r="E4290" s="3" t="s">
        <v>6821</v>
      </c>
      <c r="F4290" s="4">
        <v>43943.560416666667</v>
      </c>
      <c r="G4290" s="3"/>
      <c r="H4290" s="3"/>
      <c r="I4290" s="3" t="s">
        <v>7043</v>
      </c>
      <c r="J4290" s="3"/>
      <c r="K4290" s="3"/>
      <c r="L4290" s="5"/>
    </row>
    <row r="4291" spans="1:12" ht="28.8" x14ac:dyDescent="0.55000000000000004">
      <c r="A4291" s="9" t="str">
        <f>HYPERLINK("PDF\FOIA-FWS-2020-00724-0004290.pdf","FOIA-FWS-2020-00724-0004290")</f>
        <v>FOIA-FWS-2020-00724-0004290</v>
      </c>
      <c r="B4291" s="3" t="s">
        <v>6822</v>
      </c>
      <c r="C4291" s="3" t="s">
        <v>3</v>
      </c>
      <c r="D4291" s="3" t="s">
        <v>33</v>
      </c>
      <c r="E4291" s="3" t="s">
        <v>6820</v>
      </c>
      <c r="F4291" s="4">
        <v>43943.758333333331</v>
      </c>
      <c r="G4291" s="3" t="s">
        <v>945</v>
      </c>
      <c r="H4291" s="3" t="s">
        <v>5800</v>
      </c>
      <c r="I4291" s="3" t="s">
        <v>7043</v>
      </c>
      <c r="J4291" s="3"/>
      <c r="K4291" s="3"/>
      <c r="L4291" s="5"/>
    </row>
    <row r="4292" spans="1:12" ht="28.8" x14ac:dyDescent="0.55000000000000004">
      <c r="A4292" s="9" t="str">
        <f>HYPERLINK("PDF\FOIA-FWS-2020-00724-0004291.pdf","FOIA-FWS-2020-00724-0004291")</f>
        <v>FOIA-FWS-2020-00724-0004291</v>
      </c>
      <c r="B4292" s="3" t="s">
        <v>6823</v>
      </c>
      <c r="C4292" s="3" t="s">
        <v>3</v>
      </c>
      <c r="D4292" s="3" t="s">
        <v>33</v>
      </c>
      <c r="E4292" s="3" t="s">
        <v>6824</v>
      </c>
      <c r="F4292" s="4">
        <v>43944.578472222223</v>
      </c>
      <c r="G4292" s="3" t="s">
        <v>1024</v>
      </c>
      <c r="H4292" s="3" t="s">
        <v>2179</v>
      </c>
      <c r="I4292" s="3" t="s">
        <v>7043</v>
      </c>
      <c r="J4292" s="3"/>
      <c r="K4292" s="3"/>
      <c r="L4292" s="5"/>
    </row>
    <row r="4293" spans="1:12" ht="28.8" x14ac:dyDescent="0.55000000000000004">
      <c r="A4293" s="9" t="str">
        <f>HYPERLINK("PDF\FOIA-FWS-2020-00724-0004292.pdf","FOIA-FWS-2020-00724-0004292")</f>
        <v>FOIA-FWS-2020-00724-0004292</v>
      </c>
      <c r="B4293" s="3" t="s">
        <v>6823</v>
      </c>
      <c r="C4293" s="3" t="s">
        <v>234</v>
      </c>
      <c r="D4293" s="3" t="s">
        <v>33</v>
      </c>
      <c r="E4293" s="3" t="s">
        <v>6825</v>
      </c>
      <c r="F4293" s="4">
        <v>43944.578472222223</v>
      </c>
      <c r="G4293" s="3"/>
      <c r="H4293" s="3"/>
      <c r="I4293" s="3" t="s">
        <v>7043</v>
      </c>
      <c r="J4293" s="3"/>
      <c r="K4293" s="3"/>
      <c r="L4293" s="5"/>
    </row>
    <row r="4294" spans="1:12" ht="28.8" x14ac:dyDescent="0.55000000000000004">
      <c r="A4294" s="9" t="str">
        <f>HYPERLINK("PDF\FOIA-FWS-2020-00724-0004293.pdf","FOIA-FWS-2020-00724-0004293")</f>
        <v>FOIA-FWS-2020-00724-0004293</v>
      </c>
      <c r="B4294" s="3" t="s">
        <v>6826</v>
      </c>
      <c r="C4294" s="3" t="s">
        <v>3</v>
      </c>
      <c r="D4294" s="3" t="s">
        <v>33</v>
      </c>
      <c r="E4294" s="3" t="s">
        <v>6824</v>
      </c>
      <c r="F4294" s="4">
        <v>43944.703472222223</v>
      </c>
      <c r="G4294" s="3" t="s">
        <v>1024</v>
      </c>
      <c r="H4294" s="3" t="s">
        <v>2179</v>
      </c>
      <c r="I4294" s="3" t="s">
        <v>7043</v>
      </c>
      <c r="J4294" s="3"/>
      <c r="K4294" s="3"/>
      <c r="L4294" s="5"/>
    </row>
    <row r="4295" spans="1:12" ht="28.8" x14ac:dyDescent="0.55000000000000004">
      <c r="A4295" s="9" t="str">
        <f>HYPERLINK("PDF\FOIA-FWS-2020-00724-0004294.pdf","FOIA-FWS-2020-00724-0004294")</f>
        <v>FOIA-FWS-2020-00724-0004294</v>
      </c>
      <c r="B4295" s="3" t="s">
        <v>6827</v>
      </c>
      <c r="C4295" s="3" t="s">
        <v>3</v>
      </c>
      <c r="D4295" s="3" t="s">
        <v>33</v>
      </c>
      <c r="E4295" s="3" t="s">
        <v>6829</v>
      </c>
      <c r="F4295" s="4">
        <v>43944.70416666667</v>
      </c>
      <c r="G4295" s="3" t="s">
        <v>1719</v>
      </c>
      <c r="H4295" s="3" t="s">
        <v>6828</v>
      </c>
      <c r="I4295" s="3" t="s">
        <v>7043</v>
      </c>
      <c r="J4295" s="3"/>
      <c r="K4295" s="3"/>
      <c r="L4295" s="5"/>
    </row>
    <row r="4296" spans="1:12" ht="28.8" x14ac:dyDescent="0.55000000000000004">
      <c r="A4296" s="9" t="str">
        <f>HYPERLINK("PDF\FOIA-FWS-2020-00724-0004295.pdf","FOIA-FWS-2020-00724-0004295")</f>
        <v>FOIA-FWS-2020-00724-0004295</v>
      </c>
      <c r="B4296" s="3" t="s">
        <v>6830</v>
      </c>
      <c r="C4296" s="3" t="s">
        <v>3</v>
      </c>
      <c r="D4296" s="3" t="s">
        <v>33</v>
      </c>
      <c r="E4296" s="3" t="s">
        <v>6831</v>
      </c>
      <c r="F4296" s="4">
        <v>43944.807638888888</v>
      </c>
      <c r="G4296" s="3" t="s">
        <v>861</v>
      </c>
      <c r="H4296" s="3" t="s">
        <v>1119</v>
      </c>
      <c r="I4296" s="3" t="s">
        <v>7043</v>
      </c>
      <c r="J4296" s="3"/>
      <c r="K4296" s="3"/>
      <c r="L4296" s="5"/>
    </row>
    <row r="4297" spans="1:12" ht="28.8" x14ac:dyDescent="0.55000000000000004">
      <c r="A4297" s="9" t="str">
        <f>HYPERLINK("PDF\FOIA-FWS-2020-00724-0004296.pdf","FOIA-FWS-2020-00724-0004296")</f>
        <v>FOIA-FWS-2020-00724-0004296</v>
      </c>
      <c r="B4297" s="3" t="s">
        <v>6830</v>
      </c>
      <c r="C4297" s="3" t="s">
        <v>234</v>
      </c>
      <c r="D4297" s="3" t="s">
        <v>33</v>
      </c>
      <c r="E4297" s="3" t="s">
        <v>6825</v>
      </c>
      <c r="F4297" s="4">
        <v>43944.807638888888</v>
      </c>
      <c r="G4297" s="3"/>
      <c r="H4297" s="3"/>
      <c r="I4297" s="3" t="s">
        <v>7043</v>
      </c>
      <c r="J4297" s="3"/>
      <c r="K4297" s="3"/>
      <c r="L4297" s="5"/>
    </row>
    <row r="4298" spans="1:12" ht="28.8" x14ac:dyDescent="0.55000000000000004">
      <c r="A4298" s="9" t="str">
        <f>HYPERLINK("PDF\FOIA-FWS-2020-00724-0004297.pdf","FOIA-FWS-2020-00724-0004297")</f>
        <v>FOIA-FWS-2020-00724-0004297</v>
      </c>
      <c r="B4298" s="3" t="s">
        <v>6832</v>
      </c>
      <c r="C4298" s="3" t="s">
        <v>3</v>
      </c>
      <c r="D4298" s="3" t="s">
        <v>33</v>
      </c>
      <c r="E4298" s="3" t="s">
        <v>6833</v>
      </c>
      <c r="F4298" s="4">
        <v>43944.807638888888</v>
      </c>
      <c r="G4298" s="3" t="s">
        <v>4328</v>
      </c>
      <c r="H4298" s="3" t="s">
        <v>872</v>
      </c>
      <c r="I4298" s="3" t="s">
        <v>7043</v>
      </c>
      <c r="J4298" s="3"/>
      <c r="K4298" s="3"/>
      <c r="L4298" s="5"/>
    </row>
    <row r="4299" spans="1:12" ht="28.8" x14ac:dyDescent="0.55000000000000004">
      <c r="A4299" s="9" t="str">
        <f>HYPERLINK("PDF\FOIA-FWS-2020-00724-0004298.pdf","FOIA-FWS-2020-00724-0004298")</f>
        <v>FOIA-FWS-2020-00724-0004298</v>
      </c>
      <c r="B4299" s="3" t="s">
        <v>6834</v>
      </c>
      <c r="C4299" s="3" t="s">
        <v>3</v>
      </c>
      <c r="D4299" s="3" t="s">
        <v>33</v>
      </c>
      <c r="E4299" s="3" t="s">
        <v>6835</v>
      </c>
      <c r="F4299" s="4">
        <v>43944.823611111111</v>
      </c>
      <c r="G4299" s="3" t="s">
        <v>945</v>
      </c>
      <c r="H4299" s="3" t="s">
        <v>2081</v>
      </c>
      <c r="I4299" s="3" t="s">
        <v>7043</v>
      </c>
      <c r="J4299" s="3"/>
      <c r="K4299" s="3"/>
      <c r="L4299" s="5"/>
    </row>
    <row r="4300" spans="1:12" ht="28.8" x14ac:dyDescent="0.55000000000000004">
      <c r="A4300" s="9" t="str">
        <f>HYPERLINK("PDF\FOIA-FWS-2020-00724-0004299.pdf","FOIA-FWS-2020-00724-0004299")</f>
        <v>FOIA-FWS-2020-00724-0004299</v>
      </c>
      <c r="B4300" s="3" t="s">
        <v>6834</v>
      </c>
      <c r="C4300" s="3" t="s">
        <v>234</v>
      </c>
      <c r="D4300" s="3" t="s">
        <v>33</v>
      </c>
      <c r="E4300" s="3" t="s">
        <v>4295</v>
      </c>
      <c r="F4300" s="4">
        <v>43944.823611111111</v>
      </c>
      <c r="G4300" s="3"/>
      <c r="H4300" s="3"/>
      <c r="I4300" s="3" t="s">
        <v>7043</v>
      </c>
      <c r="J4300" s="3"/>
      <c r="K4300" s="3"/>
      <c r="L4300" s="5"/>
    </row>
    <row r="4301" spans="1:12" ht="28.8" x14ac:dyDescent="0.55000000000000004">
      <c r="A4301" s="9" t="str">
        <f>HYPERLINK("PDF\FOIA-FWS-2020-00724-0004300.pdf","FOIA-FWS-2020-00724-0004300")</f>
        <v>FOIA-FWS-2020-00724-0004300</v>
      </c>
      <c r="B4301" s="3" t="s">
        <v>6836</v>
      </c>
      <c r="C4301" s="3" t="s">
        <v>3</v>
      </c>
      <c r="D4301" s="3" t="s">
        <v>33</v>
      </c>
      <c r="E4301" s="3" t="s">
        <v>6837</v>
      </c>
      <c r="F4301" s="4">
        <v>43944.833333333336</v>
      </c>
      <c r="G4301" s="3" t="s">
        <v>2081</v>
      </c>
      <c r="H4301" s="3" t="s">
        <v>945</v>
      </c>
      <c r="I4301" s="3" t="s">
        <v>7043</v>
      </c>
      <c r="J4301" s="3"/>
      <c r="K4301" s="3"/>
      <c r="L4301" s="5"/>
    </row>
    <row r="4302" spans="1:12" ht="28.8" x14ac:dyDescent="0.55000000000000004">
      <c r="A4302" s="9" t="str">
        <f>HYPERLINK("PDF\FOIA-FWS-2020-00724-0004301.pdf","FOIA-FWS-2020-00724-0004301")</f>
        <v>FOIA-FWS-2020-00724-0004301</v>
      </c>
      <c r="B4302" s="3" t="s">
        <v>6838</v>
      </c>
      <c r="C4302" s="3" t="s">
        <v>3</v>
      </c>
      <c r="D4302" s="3" t="s">
        <v>33</v>
      </c>
      <c r="E4302" s="3" t="s">
        <v>6839</v>
      </c>
      <c r="F4302" s="4">
        <v>43945</v>
      </c>
      <c r="G4302" s="3"/>
      <c r="H4302" s="3"/>
      <c r="I4302" s="3" t="s">
        <v>7043</v>
      </c>
      <c r="J4302" s="3"/>
      <c r="K4302" s="3"/>
      <c r="L4302" s="5"/>
    </row>
    <row r="4303" spans="1:12" ht="28.8" x14ac:dyDescent="0.55000000000000004">
      <c r="A4303" s="9" t="str">
        <f>HYPERLINK("PDF\FOIA-FWS-2020-00724-0004302.pdf","FOIA-FWS-2020-00724-0004302")</f>
        <v>FOIA-FWS-2020-00724-0004302</v>
      </c>
      <c r="B4303" s="3" t="s">
        <v>6840</v>
      </c>
      <c r="C4303" s="3" t="s">
        <v>3</v>
      </c>
      <c r="D4303" s="3" t="s">
        <v>33</v>
      </c>
      <c r="E4303" s="3" t="s">
        <v>6842</v>
      </c>
      <c r="F4303" s="4">
        <v>43945.645833333336</v>
      </c>
      <c r="G4303" s="3" t="s">
        <v>963</v>
      </c>
      <c r="H4303" s="3" t="s">
        <v>6841</v>
      </c>
      <c r="I4303" s="3" t="s">
        <v>7043</v>
      </c>
      <c r="J4303" s="3"/>
      <c r="K4303" s="3"/>
      <c r="L4303" s="5"/>
    </row>
    <row r="4304" spans="1:12" ht="28.8" x14ac:dyDescent="0.55000000000000004">
      <c r="A4304" s="9" t="str">
        <f>HYPERLINK("PDF\FOIA-FWS-2020-00724-0004303.pdf","FOIA-FWS-2020-00724-0004303")</f>
        <v>FOIA-FWS-2020-00724-0004303</v>
      </c>
      <c r="B4304" s="3" t="s">
        <v>6840</v>
      </c>
      <c r="C4304" s="3" t="s">
        <v>234</v>
      </c>
      <c r="D4304" s="3" t="s">
        <v>33</v>
      </c>
      <c r="E4304" s="3" t="s">
        <v>6843</v>
      </c>
      <c r="F4304" s="4">
        <v>43945.645833333336</v>
      </c>
      <c r="G4304" s="3"/>
      <c r="H4304" s="3"/>
      <c r="I4304" s="3" t="s">
        <v>7043</v>
      </c>
      <c r="J4304" s="3"/>
      <c r="K4304" s="3"/>
      <c r="L4304" s="5"/>
    </row>
    <row r="4305" spans="1:12" ht="28.8" x14ac:dyDescent="0.55000000000000004">
      <c r="A4305" s="9" t="str">
        <f>HYPERLINK("PDF\FOIA-FWS-2020-00724-0004304.pdf","FOIA-FWS-2020-00724-0004304")</f>
        <v>FOIA-FWS-2020-00724-0004304</v>
      </c>
      <c r="B4305" s="3" t="s">
        <v>6844</v>
      </c>
      <c r="C4305" s="3" t="s">
        <v>3</v>
      </c>
      <c r="D4305" s="3" t="s">
        <v>33</v>
      </c>
      <c r="E4305" s="3" t="s">
        <v>6845</v>
      </c>
      <c r="F4305" s="4">
        <v>43945.668749999997</v>
      </c>
      <c r="G4305" s="3" t="s">
        <v>6841</v>
      </c>
      <c r="H4305" s="3" t="s">
        <v>963</v>
      </c>
      <c r="I4305" s="3" t="s">
        <v>7043</v>
      </c>
      <c r="J4305" s="3"/>
      <c r="K4305" s="3"/>
      <c r="L4305" s="5"/>
    </row>
    <row r="4306" spans="1:12" ht="28.8" x14ac:dyDescent="0.55000000000000004">
      <c r="A4306" s="9" t="str">
        <f>HYPERLINK("PDF\FOIA-FWS-2020-00724-0004305.pdf","FOIA-FWS-2020-00724-0004305")</f>
        <v>FOIA-FWS-2020-00724-0004305</v>
      </c>
      <c r="B4306" s="3" t="s">
        <v>6846</v>
      </c>
      <c r="C4306" s="3" t="s">
        <v>3</v>
      </c>
      <c r="D4306" s="3" t="s">
        <v>33</v>
      </c>
      <c r="E4306" s="3" t="s">
        <v>6820</v>
      </c>
      <c r="F4306" s="4">
        <v>43945.671527777777</v>
      </c>
      <c r="G4306" s="3" t="s">
        <v>5800</v>
      </c>
      <c r="H4306" s="3" t="s">
        <v>6847</v>
      </c>
      <c r="I4306" s="3" t="s">
        <v>7043</v>
      </c>
      <c r="J4306" s="3"/>
      <c r="K4306" s="3"/>
      <c r="L4306" s="5"/>
    </row>
    <row r="4307" spans="1:12" ht="28.8" x14ac:dyDescent="0.55000000000000004">
      <c r="A4307" s="9" t="str">
        <f>HYPERLINK("PDF\FOIA-FWS-2020-00724-0004306.pdf","FOIA-FWS-2020-00724-0004306")</f>
        <v>FOIA-FWS-2020-00724-0004306</v>
      </c>
      <c r="B4307" s="3" t="s">
        <v>6846</v>
      </c>
      <c r="C4307" s="3" t="s">
        <v>234</v>
      </c>
      <c r="D4307" s="3" t="s">
        <v>33</v>
      </c>
      <c r="E4307" s="3" t="s">
        <v>6821</v>
      </c>
      <c r="F4307" s="4">
        <v>43945.671527777777</v>
      </c>
      <c r="G4307" s="3"/>
      <c r="H4307" s="3"/>
      <c r="I4307" s="3" t="s">
        <v>7043</v>
      </c>
      <c r="J4307" s="3"/>
      <c r="K4307" s="3"/>
      <c r="L4307" s="5"/>
    </row>
    <row r="4308" spans="1:12" ht="28.8" x14ac:dyDescent="0.55000000000000004">
      <c r="A4308" s="9" t="str">
        <f>HYPERLINK("PDF\FOIA-FWS-2020-00724-0004307.pdf","FOIA-FWS-2020-00724-0004307")</f>
        <v>FOIA-FWS-2020-00724-0004307</v>
      </c>
      <c r="B4308" s="3" t="s">
        <v>6848</v>
      </c>
      <c r="C4308" s="3" t="s">
        <v>3</v>
      </c>
      <c r="D4308" s="3" t="s">
        <v>33</v>
      </c>
      <c r="E4308" s="3" t="s">
        <v>6850</v>
      </c>
      <c r="F4308" s="4">
        <v>43945.6875</v>
      </c>
      <c r="G4308" s="3" t="s">
        <v>852</v>
      </c>
      <c r="H4308" s="3" t="s">
        <v>6849</v>
      </c>
      <c r="I4308" s="3" t="s">
        <v>7043</v>
      </c>
      <c r="J4308" s="3"/>
      <c r="K4308" s="3"/>
      <c r="L4308" s="5"/>
    </row>
    <row r="4309" spans="1:12" ht="28.8" x14ac:dyDescent="0.55000000000000004">
      <c r="A4309" s="9" t="str">
        <f>HYPERLINK("PDF\FOIA-FWS-2020-00724-0004308.pdf","FOIA-FWS-2020-00724-0004308")</f>
        <v>FOIA-FWS-2020-00724-0004308</v>
      </c>
      <c r="B4309" s="3" t="s">
        <v>6851</v>
      </c>
      <c r="C4309" s="3" t="s">
        <v>3</v>
      </c>
      <c r="D4309" s="3" t="s">
        <v>33</v>
      </c>
      <c r="E4309" s="3" t="s">
        <v>6853</v>
      </c>
      <c r="F4309" s="4">
        <v>43945.703472222223</v>
      </c>
      <c r="G4309" s="3" t="s">
        <v>945</v>
      </c>
      <c r="H4309" s="3" t="s">
        <v>6852</v>
      </c>
      <c r="I4309" s="3" t="s">
        <v>7043</v>
      </c>
      <c r="J4309" s="3"/>
      <c r="K4309" s="3"/>
      <c r="L4309" s="5"/>
    </row>
    <row r="4310" spans="1:12" ht="28.8" x14ac:dyDescent="0.55000000000000004">
      <c r="A4310" s="9" t="str">
        <f>HYPERLINK("PDF\FOIA-FWS-2020-00724-0004309.pdf","FOIA-FWS-2020-00724-0004309")</f>
        <v>FOIA-FWS-2020-00724-0004309</v>
      </c>
      <c r="B4310" s="3" t="s">
        <v>6851</v>
      </c>
      <c r="C4310" s="3" t="s">
        <v>234</v>
      </c>
      <c r="D4310" s="3" t="s">
        <v>33</v>
      </c>
      <c r="E4310" s="3" t="s">
        <v>6854</v>
      </c>
      <c r="F4310" s="4">
        <v>43945.703472222223</v>
      </c>
      <c r="G4310" s="3"/>
      <c r="H4310" s="3"/>
      <c r="I4310" s="3" t="s">
        <v>7043</v>
      </c>
      <c r="J4310" s="3"/>
      <c r="K4310" s="3"/>
      <c r="L4310" s="5"/>
    </row>
    <row r="4311" spans="1:12" ht="28.8" x14ac:dyDescent="0.55000000000000004">
      <c r="A4311" s="9" t="str">
        <f>HYPERLINK("PDF\FOIA-FWS-2020-00724-0004310.pdf","FOIA-FWS-2020-00724-0004310")</f>
        <v>FOIA-FWS-2020-00724-0004310</v>
      </c>
      <c r="B4311" s="3" t="s">
        <v>6855</v>
      </c>
      <c r="C4311" s="3" t="s">
        <v>3</v>
      </c>
      <c r="D4311" s="3" t="s">
        <v>33</v>
      </c>
      <c r="E4311" s="3" t="s">
        <v>6857</v>
      </c>
      <c r="F4311" s="4">
        <v>43945.724305555559</v>
      </c>
      <c r="G4311" s="3" t="s">
        <v>945</v>
      </c>
      <c r="H4311" s="3" t="s">
        <v>6856</v>
      </c>
      <c r="I4311" s="3" t="s">
        <v>7043</v>
      </c>
      <c r="J4311" s="3"/>
      <c r="K4311" s="3"/>
      <c r="L4311" s="5"/>
    </row>
    <row r="4312" spans="1:12" ht="28.8" x14ac:dyDescent="0.55000000000000004">
      <c r="A4312" s="9" t="str">
        <f>HYPERLINK("PDF\FOIA-FWS-2020-00724-0004311.pdf","FOIA-FWS-2020-00724-0004311")</f>
        <v>FOIA-FWS-2020-00724-0004311</v>
      </c>
      <c r="B4312" s="3" t="s">
        <v>6858</v>
      </c>
      <c r="C4312" s="3" t="s">
        <v>3</v>
      </c>
      <c r="D4312" s="3" t="s">
        <v>33</v>
      </c>
      <c r="E4312" s="3" t="s">
        <v>6860</v>
      </c>
      <c r="F4312" s="4">
        <v>43945.758333333331</v>
      </c>
      <c r="G4312" s="3" t="s">
        <v>945</v>
      </c>
      <c r="H4312" s="3" t="s">
        <v>6859</v>
      </c>
      <c r="I4312" s="3" t="s">
        <v>7043</v>
      </c>
      <c r="J4312" s="3"/>
      <c r="K4312" s="3"/>
      <c r="L4312" s="5"/>
    </row>
    <row r="4313" spans="1:12" ht="28.8" x14ac:dyDescent="0.55000000000000004">
      <c r="A4313" s="9" t="str">
        <f>HYPERLINK("PDF\FOIA-FWS-2020-00724-0004312.pdf","FOIA-FWS-2020-00724-0004312")</f>
        <v>FOIA-FWS-2020-00724-0004312</v>
      </c>
      <c r="B4313" s="3" t="s">
        <v>6858</v>
      </c>
      <c r="C4313" s="3" t="s">
        <v>234</v>
      </c>
      <c r="D4313" s="3" t="s">
        <v>33</v>
      </c>
      <c r="E4313" s="3" t="s">
        <v>6861</v>
      </c>
      <c r="F4313" s="4">
        <v>43945.758333333331</v>
      </c>
      <c r="G4313" s="3"/>
      <c r="H4313" s="3"/>
      <c r="I4313" s="3" t="s">
        <v>7043</v>
      </c>
      <c r="J4313" s="3"/>
      <c r="K4313" s="3"/>
      <c r="L4313" s="5"/>
    </row>
    <row r="4314" spans="1:12" ht="28.8" x14ac:dyDescent="0.55000000000000004">
      <c r="A4314" s="9" t="str">
        <f>HYPERLINK("PDF\FOIA-FWS-2020-00724-0004313.PDF","FOIA-FWS-2020-00724-0004313")</f>
        <v>FOIA-FWS-2020-00724-0004313</v>
      </c>
      <c r="B4314" s="3" t="s">
        <v>6862</v>
      </c>
      <c r="C4314" s="3" t="s">
        <v>3</v>
      </c>
      <c r="D4314" s="3" t="s">
        <v>33</v>
      </c>
      <c r="E4314" s="3" t="s">
        <v>6863</v>
      </c>
      <c r="F4314" s="4">
        <v>43945.865972222222</v>
      </c>
      <c r="G4314" s="3" t="s">
        <v>1489</v>
      </c>
      <c r="H4314" s="3" t="s">
        <v>1119</v>
      </c>
      <c r="I4314" s="3" t="s">
        <v>7043</v>
      </c>
      <c r="J4314" s="3"/>
      <c r="K4314" s="3"/>
      <c r="L4314" s="5"/>
    </row>
    <row r="4315" spans="1:12" ht="28.8" x14ac:dyDescent="0.55000000000000004">
      <c r="A4315" s="9" t="str">
        <f>HYPERLINK("PDF\FOIA-FWS-2020-00724-0004314.pdf","FOIA-FWS-2020-00724-0004314")</f>
        <v>FOIA-FWS-2020-00724-0004314</v>
      </c>
      <c r="B4315" s="3" t="s">
        <v>6862</v>
      </c>
      <c r="C4315" s="3" t="s">
        <v>234</v>
      </c>
      <c r="D4315" s="3" t="s">
        <v>160</v>
      </c>
      <c r="E4315" s="3" t="s">
        <v>6864</v>
      </c>
      <c r="F4315" s="4">
        <v>43945.865972222222</v>
      </c>
      <c r="G4315" s="3"/>
      <c r="H4315" s="3"/>
      <c r="I4315" s="3" t="s">
        <v>7043</v>
      </c>
      <c r="J4315" s="3"/>
      <c r="K4315" s="3"/>
      <c r="L4315" s="5" t="str">
        <f>HYPERLINK("NATIVE_FILES\FOIA-FWS-2020-00724-0004314.dbf","FOIA-FWS-2020-00724-0004314.dbf")</f>
        <v>FOIA-FWS-2020-00724-0004314.dbf</v>
      </c>
    </row>
    <row r="4316" spans="1:12" ht="28.8" x14ac:dyDescent="0.55000000000000004">
      <c r="A4316" s="9" t="str">
        <f>HYPERLINK("PDF\FOIA-FWS-2020-00724-0004315.pdf","FOIA-FWS-2020-00724-0004315")</f>
        <v>FOIA-FWS-2020-00724-0004315</v>
      </c>
      <c r="B4316" s="3" t="s">
        <v>6862</v>
      </c>
      <c r="C4316" s="3" t="s">
        <v>234</v>
      </c>
      <c r="D4316" s="3" t="s">
        <v>160</v>
      </c>
      <c r="E4316" s="3" t="s">
        <v>6865</v>
      </c>
      <c r="F4316" s="4">
        <v>43945.865972222222</v>
      </c>
      <c r="G4316" s="3"/>
      <c r="H4316" s="3"/>
      <c r="I4316" s="3" t="s">
        <v>7043</v>
      </c>
      <c r="J4316" s="3"/>
      <c r="K4316" s="3"/>
      <c r="L4316" s="5" t="str">
        <f>HYPERLINK("NATIVE_FILES\FOIA-FWS-2020-00724-0004315.prj","FOIA-FWS-2020-00724-0004315.prj")</f>
        <v>FOIA-FWS-2020-00724-0004315.prj</v>
      </c>
    </row>
    <row r="4317" spans="1:12" ht="28.8" x14ac:dyDescent="0.55000000000000004">
      <c r="A4317" s="9" t="str">
        <f>HYPERLINK("PDF\FOIA-FWS-2020-00724-0004316.pdf","FOIA-FWS-2020-00724-0004316")</f>
        <v>FOIA-FWS-2020-00724-0004316</v>
      </c>
      <c r="B4317" s="3" t="s">
        <v>6862</v>
      </c>
      <c r="C4317" s="3" t="s">
        <v>234</v>
      </c>
      <c r="D4317" s="3" t="s">
        <v>160</v>
      </c>
      <c r="E4317" s="3" t="s">
        <v>6866</v>
      </c>
      <c r="F4317" s="4">
        <v>43945.865972222222</v>
      </c>
      <c r="G4317" s="3"/>
      <c r="H4317" s="3"/>
      <c r="I4317" s="3" t="s">
        <v>7043</v>
      </c>
      <c r="J4317" s="3"/>
      <c r="K4317" s="3"/>
      <c r="L4317" s="5" t="str">
        <f>HYPERLINK("NATIVE_FILES\FOIA-FWS-2020-00724-0004316.sbn","FOIA-FWS-2020-00724-0004316.sbn")</f>
        <v>FOIA-FWS-2020-00724-0004316.sbn</v>
      </c>
    </row>
    <row r="4318" spans="1:12" ht="28.8" x14ac:dyDescent="0.55000000000000004">
      <c r="A4318" s="9" t="str">
        <f>HYPERLINK("PDF\FOIA-FWS-2020-00724-0004317.pdf","FOIA-FWS-2020-00724-0004317")</f>
        <v>FOIA-FWS-2020-00724-0004317</v>
      </c>
      <c r="B4318" s="3" t="s">
        <v>6862</v>
      </c>
      <c r="C4318" s="3" t="s">
        <v>234</v>
      </c>
      <c r="D4318" s="3" t="s">
        <v>160</v>
      </c>
      <c r="E4318" s="3" t="s">
        <v>6867</v>
      </c>
      <c r="F4318" s="4">
        <v>43945.865972222222</v>
      </c>
      <c r="G4318" s="3"/>
      <c r="H4318" s="3"/>
      <c r="I4318" s="3" t="s">
        <v>7043</v>
      </c>
      <c r="J4318" s="3"/>
      <c r="K4318" s="3"/>
      <c r="L4318" s="5" t="str">
        <f>HYPERLINK("NATIVE_FILES\FOIA-FWS-2020-00724-0004317.sbx","FOIA-FWS-2020-00724-0004317.sbx")</f>
        <v>FOIA-FWS-2020-00724-0004317.sbx</v>
      </c>
    </row>
    <row r="4319" spans="1:12" ht="28.8" x14ac:dyDescent="0.55000000000000004">
      <c r="A4319" s="9" t="str">
        <f>HYPERLINK("PDF\FOIA-FWS-2020-00724-0004318.pdf","FOIA-FWS-2020-00724-0004318")</f>
        <v>FOIA-FWS-2020-00724-0004318</v>
      </c>
      <c r="B4319" s="3" t="s">
        <v>6862</v>
      </c>
      <c r="C4319" s="3" t="s">
        <v>234</v>
      </c>
      <c r="D4319" s="3" t="s">
        <v>160</v>
      </c>
      <c r="E4319" s="3" t="s">
        <v>6868</v>
      </c>
      <c r="F4319" s="4">
        <v>43945.865972222222</v>
      </c>
      <c r="G4319" s="3"/>
      <c r="H4319" s="3"/>
      <c r="I4319" s="3" t="s">
        <v>7043</v>
      </c>
      <c r="J4319" s="3"/>
      <c r="K4319" s="3"/>
      <c r="L4319" s="5" t="str">
        <f>HYPERLINK("NATIVE_FILES\FOIA-FWS-2020-00724-0004318.shp","FOIA-FWS-2020-00724-0004318.shp")</f>
        <v>FOIA-FWS-2020-00724-0004318.shp</v>
      </c>
    </row>
    <row r="4320" spans="1:12" ht="28.8" x14ac:dyDescent="0.55000000000000004">
      <c r="A4320" s="9" t="str">
        <f>HYPERLINK("PDF\FOIA-FWS-2020-00724-0004319.pdf","FOIA-FWS-2020-00724-0004319")</f>
        <v>FOIA-FWS-2020-00724-0004319</v>
      </c>
      <c r="B4320" s="3" t="s">
        <v>6862</v>
      </c>
      <c r="C4320" s="3" t="s">
        <v>234</v>
      </c>
      <c r="D4320" s="3" t="s">
        <v>160</v>
      </c>
      <c r="E4320" s="3" t="s">
        <v>6869</v>
      </c>
      <c r="F4320" s="4">
        <v>43945.865972222222</v>
      </c>
      <c r="G4320" s="3"/>
      <c r="H4320" s="3"/>
      <c r="I4320" s="3" t="s">
        <v>7043</v>
      </c>
      <c r="J4320" s="3"/>
      <c r="K4320" s="3"/>
      <c r="L4320" s="5" t="str">
        <f>HYPERLINK("NATIVE_FILES\FOIA-FWS-2020-00724-0004319.xml","FOIA-FWS-2020-00724-0004319.xml")</f>
        <v>FOIA-FWS-2020-00724-0004319.xml</v>
      </c>
    </row>
    <row r="4321" spans="1:12" ht="28.8" x14ac:dyDescent="0.55000000000000004">
      <c r="A4321" s="9" t="str">
        <f>HYPERLINK("PDF\FOIA-FWS-2020-00724-0004320.pdf","FOIA-FWS-2020-00724-0004320")</f>
        <v>FOIA-FWS-2020-00724-0004320</v>
      </c>
      <c r="B4321" s="3" t="s">
        <v>6862</v>
      </c>
      <c r="C4321" s="3" t="s">
        <v>234</v>
      </c>
      <c r="D4321" s="3" t="s">
        <v>160</v>
      </c>
      <c r="E4321" s="3" t="s">
        <v>6870</v>
      </c>
      <c r="F4321" s="4">
        <v>43945.865972222222</v>
      </c>
      <c r="G4321" s="3"/>
      <c r="H4321" s="3"/>
      <c r="I4321" s="3" t="s">
        <v>7043</v>
      </c>
      <c r="J4321" s="3"/>
      <c r="K4321" s="3"/>
      <c r="L4321" s="5" t="str">
        <f>HYPERLINK("NATIVE_FILES\FOIA-FWS-2020-00724-0004320.shx","FOIA-FWS-2020-00724-0004320.shx")</f>
        <v>FOIA-FWS-2020-00724-0004320.shx</v>
      </c>
    </row>
    <row r="4322" spans="1:12" ht="28.8" x14ac:dyDescent="0.55000000000000004">
      <c r="A4322" s="9" t="str">
        <f>HYPERLINK("PDF\FOIA-FWS-2020-00724-0004321.pdf","FOIA-FWS-2020-00724-0004321")</f>
        <v>FOIA-FWS-2020-00724-0004321</v>
      </c>
      <c r="B4322" s="3" t="s">
        <v>6862</v>
      </c>
      <c r="C4322" s="3" t="s">
        <v>234</v>
      </c>
      <c r="D4322" s="3" t="s">
        <v>160</v>
      </c>
      <c r="E4322" s="3" t="s">
        <v>6871</v>
      </c>
      <c r="F4322" s="4">
        <v>43945.865972222222</v>
      </c>
      <c r="G4322" s="3"/>
      <c r="H4322" s="3"/>
      <c r="I4322" s="3" t="s">
        <v>7043</v>
      </c>
      <c r="J4322" s="3"/>
      <c r="K4322" s="3"/>
      <c r="L4322" s="5" t="str">
        <f>HYPERLINK("NATIVE_FILES\FOIA-FWS-2020-00724-0004321.dbf","FOIA-FWS-2020-00724-0004321.dbf")</f>
        <v>FOIA-FWS-2020-00724-0004321.dbf</v>
      </c>
    </row>
    <row r="4323" spans="1:12" ht="28.8" x14ac:dyDescent="0.55000000000000004">
      <c r="A4323" s="9" t="str">
        <f>HYPERLINK("PDF\FOIA-FWS-2020-00724-0004322.pdf","FOIA-FWS-2020-00724-0004322")</f>
        <v>FOIA-FWS-2020-00724-0004322</v>
      </c>
      <c r="B4323" s="3" t="s">
        <v>6862</v>
      </c>
      <c r="C4323" s="3" t="s">
        <v>234</v>
      </c>
      <c r="D4323" s="3" t="s">
        <v>160</v>
      </c>
      <c r="E4323" s="3" t="s">
        <v>6872</v>
      </c>
      <c r="F4323" s="4">
        <v>43945.865972222222</v>
      </c>
      <c r="G4323" s="3"/>
      <c r="H4323" s="3"/>
      <c r="I4323" s="3" t="s">
        <v>7043</v>
      </c>
      <c r="J4323" s="3"/>
      <c r="K4323" s="3"/>
      <c r="L4323" s="5" t="str">
        <f>HYPERLINK("NATIVE_FILES\FOIA-FWS-2020-00724-0004322.prj","FOIA-FWS-2020-00724-0004322.prj")</f>
        <v>FOIA-FWS-2020-00724-0004322.prj</v>
      </c>
    </row>
    <row r="4324" spans="1:12" ht="28.8" x14ac:dyDescent="0.55000000000000004">
      <c r="A4324" s="9" t="str">
        <f>HYPERLINK("PDF\FOIA-FWS-2020-00724-0004323.pdf","FOIA-FWS-2020-00724-0004323")</f>
        <v>FOIA-FWS-2020-00724-0004323</v>
      </c>
      <c r="B4324" s="3" t="s">
        <v>6862</v>
      </c>
      <c r="C4324" s="3" t="s">
        <v>234</v>
      </c>
      <c r="D4324" s="3" t="s">
        <v>160</v>
      </c>
      <c r="E4324" s="3" t="s">
        <v>6873</v>
      </c>
      <c r="F4324" s="4">
        <v>43945.865972222222</v>
      </c>
      <c r="G4324" s="3"/>
      <c r="H4324" s="3"/>
      <c r="I4324" s="3" t="s">
        <v>7043</v>
      </c>
      <c r="J4324" s="3"/>
      <c r="K4324" s="3"/>
      <c r="L4324" s="5" t="str">
        <f>HYPERLINK("NATIVE_FILES\FOIA-FWS-2020-00724-0004323.sbn","FOIA-FWS-2020-00724-0004323.sbn")</f>
        <v>FOIA-FWS-2020-00724-0004323.sbn</v>
      </c>
    </row>
    <row r="4325" spans="1:12" ht="28.8" x14ac:dyDescent="0.55000000000000004">
      <c r="A4325" s="9" t="str">
        <f>HYPERLINK("PDF\FOIA-FWS-2020-00724-0004324.pdf","FOIA-FWS-2020-00724-0004324")</f>
        <v>FOIA-FWS-2020-00724-0004324</v>
      </c>
      <c r="B4325" s="3" t="s">
        <v>6862</v>
      </c>
      <c r="C4325" s="3" t="s">
        <v>234</v>
      </c>
      <c r="D4325" s="3" t="s">
        <v>160</v>
      </c>
      <c r="E4325" s="3" t="s">
        <v>6874</v>
      </c>
      <c r="F4325" s="4">
        <v>43945.865972222222</v>
      </c>
      <c r="G4325" s="3"/>
      <c r="H4325" s="3"/>
      <c r="I4325" s="3" t="s">
        <v>7043</v>
      </c>
      <c r="J4325" s="3"/>
      <c r="K4325" s="3"/>
      <c r="L4325" s="5" t="str">
        <f>HYPERLINK("NATIVE_FILES\FOIA-FWS-2020-00724-0004324.sbx","FOIA-FWS-2020-00724-0004324.sbx")</f>
        <v>FOIA-FWS-2020-00724-0004324.sbx</v>
      </c>
    </row>
    <row r="4326" spans="1:12" ht="28.8" x14ac:dyDescent="0.55000000000000004">
      <c r="A4326" s="9" t="str">
        <f>HYPERLINK("PDF\FOIA-FWS-2020-00724-0004325.pdf","FOIA-FWS-2020-00724-0004325")</f>
        <v>FOIA-FWS-2020-00724-0004325</v>
      </c>
      <c r="B4326" s="3" t="s">
        <v>6862</v>
      </c>
      <c r="C4326" s="3" t="s">
        <v>234</v>
      </c>
      <c r="D4326" s="3" t="s">
        <v>160</v>
      </c>
      <c r="E4326" s="3" t="s">
        <v>6875</v>
      </c>
      <c r="F4326" s="4">
        <v>43945.865972222222</v>
      </c>
      <c r="G4326" s="3"/>
      <c r="H4326" s="3"/>
      <c r="I4326" s="3" t="s">
        <v>7043</v>
      </c>
      <c r="J4326" s="3"/>
      <c r="K4326" s="3"/>
      <c r="L4326" s="5" t="str">
        <f>HYPERLINK("NATIVE_FILES\FOIA-FWS-2020-00724-0004325.shp","FOIA-FWS-2020-00724-0004325.shp")</f>
        <v>FOIA-FWS-2020-00724-0004325.shp</v>
      </c>
    </row>
    <row r="4327" spans="1:12" ht="28.8" x14ac:dyDescent="0.55000000000000004">
      <c r="A4327" s="9" t="str">
        <f>HYPERLINK("PDF\FOIA-FWS-2020-00724-0004326.pdf","FOIA-FWS-2020-00724-0004326")</f>
        <v>FOIA-FWS-2020-00724-0004326</v>
      </c>
      <c r="B4327" s="3" t="s">
        <v>6862</v>
      </c>
      <c r="C4327" s="3" t="s">
        <v>234</v>
      </c>
      <c r="D4327" s="3" t="s">
        <v>160</v>
      </c>
      <c r="E4327" s="3" t="s">
        <v>6876</v>
      </c>
      <c r="F4327" s="4">
        <v>43945.865972222222</v>
      </c>
      <c r="G4327" s="3"/>
      <c r="H4327" s="3"/>
      <c r="I4327" s="3" t="s">
        <v>7043</v>
      </c>
      <c r="J4327" s="3"/>
      <c r="K4327" s="3"/>
      <c r="L4327" s="5" t="str">
        <f>HYPERLINK("NATIVE_FILES\FOIA-FWS-2020-00724-0004326.xml","FOIA-FWS-2020-00724-0004326.xml")</f>
        <v>FOIA-FWS-2020-00724-0004326.xml</v>
      </c>
    </row>
    <row r="4328" spans="1:12" ht="28.8" x14ac:dyDescent="0.55000000000000004">
      <c r="A4328" s="9" t="str">
        <f>HYPERLINK("PDF\FOIA-FWS-2020-00724-0004327.pdf","FOIA-FWS-2020-00724-0004327")</f>
        <v>FOIA-FWS-2020-00724-0004327</v>
      </c>
      <c r="B4328" s="3" t="s">
        <v>6862</v>
      </c>
      <c r="C4328" s="3" t="s">
        <v>234</v>
      </c>
      <c r="D4328" s="3" t="s">
        <v>160</v>
      </c>
      <c r="E4328" s="3" t="s">
        <v>6877</v>
      </c>
      <c r="F4328" s="4">
        <v>43945.865972222222</v>
      </c>
      <c r="G4328" s="3"/>
      <c r="H4328" s="3"/>
      <c r="I4328" s="3" t="s">
        <v>7043</v>
      </c>
      <c r="J4328" s="3"/>
      <c r="K4328" s="3"/>
      <c r="L4328" s="5" t="str">
        <f>HYPERLINK("NATIVE_FILES\FOIA-FWS-2020-00724-0004327.shx","FOIA-FWS-2020-00724-0004327.shx")</f>
        <v>FOIA-FWS-2020-00724-0004327.shx</v>
      </c>
    </row>
    <row r="4329" spans="1:12" ht="28.8" x14ac:dyDescent="0.55000000000000004">
      <c r="A4329" s="9" t="str">
        <f>HYPERLINK("PDF\FOIA-FWS-2020-00724-0004328.pdf","FOIA-FWS-2020-00724-0004328")</f>
        <v>FOIA-FWS-2020-00724-0004328</v>
      </c>
      <c r="B4329" s="3" t="s">
        <v>6878</v>
      </c>
      <c r="C4329" s="3" t="s">
        <v>3</v>
      </c>
      <c r="D4329" s="3" t="s">
        <v>33</v>
      </c>
      <c r="E4329" s="3" t="s">
        <v>6879</v>
      </c>
      <c r="F4329" s="4">
        <v>43948</v>
      </c>
      <c r="G4329" s="3"/>
      <c r="H4329" s="3"/>
      <c r="I4329" s="3" t="s">
        <v>7043</v>
      </c>
      <c r="J4329" s="3"/>
      <c r="K4329" s="3"/>
      <c r="L4329" s="5"/>
    </row>
    <row r="4330" spans="1:12" ht="28.8" x14ac:dyDescent="0.55000000000000004">
      <c r="A4330" s="9" t="str">
        <f>HYPERLINK("PDF\FOIA-FWS-2020-00724-0004329.pdf","FOIA-FWS-2020-00724-0004329")</f>
        <v>FOIA-FWS-2020-00724-0004329</v>
      </c>
      <c r="B4330" s="3" t="s">
        <v>6880</v>
      </c>
      <c r="C4330" s="3" t="s">
        <v>3</v>
      </c>
      <c r="D4330" s="3" t="s">
        <v>33</v>
      </c>
      <c r="E4330" s="3" t="s">
        <v>6881</v>
      </c>
      <c r="F4330" s="4">
        <v>43948</v>
      </c>
      <c r="G4330" s="3"/>
      <c r="H4330" s="3"/>
      <c r="I4330" s="3" t="s">
        <v>7043</v>
      </c>
      <c r="J4330" s="3"/>
      <c r="K4330" s="3"/>
      <c r="L4330" s="5"/>
    </row>
    <row r="4331" spans="1:12" ht="28.8" x14ac:dyDescent="0.55000000000000004">
      <c r="A4331" s="9" t="str">
        <f>HYPERLINK("PDF\FOIA-FWS-2020-00724-0004330.pdf","FOIA-FWS-2020-00724-0004330")</f>
        <v>FOIA-FWS-2020-00724-0004330</v>
      </c>
      <c r="B4331" s="3" t="s">
        <v>6882</v>
      </c>
      <c r="C4331" s="3" t="s">
        <v>3</v>
      </c>
      <c r="D4331" s="3" t="s">
        <v>33</v>
      </c>
      <c r="E4331" s="3" t="s">
        <v>6884</v>
      </c>
      <c r="F4331" s="4">
        <v>43950.80972222222</v>
      </c>
      <c r="G4331" s="3" t="s">
        <v>1024</v>
      </c>
      <c r="H4331" s="3" t="s">
        <v>6883</v>
      </c>
      <c r="I4331" s="3" t="s">
        <v>7043</v>
      </c>
      <c r="J4331" s="3"/>
      <c r="K4331" s="3"/>
      <c r="L4331" s="5"/>
    </row>
    <row r="4332" spans="1:12" ht="28.8" x14ac:dyDescent="0.55000000000000004">
      <c r="A4332" s="9" t="str">
        <f>HYPERLINK("PDF\FOIA-FWS-2020-00724-0004331.pdf","FOIA-FWS-2020-00724-0004331")</f>
        <v>FOIA-FWS-2020-00724-0004331</v>
      </c>
      <c r="B4332" s="3" t="s">
        <v>6885</v>
      </c>
      <c r="C4332" s="3" t="s">
        <v>3</v>
      </c>
      <c r="D4332" s="3" t="s">
        <v>33</v>
      </c>
      <c r="E4332" s="3" t="s">
        <v>6887</v>
      </c>
      <c r="F4332" s="4">
        <v>43950.864583333336</v>
      </c>
      <c r="G4332" s="3" t="s">
        <v>1024</v>
      </c>
      <c r="H4332" s="3" t="s">
        <v>6886</v>
      </c>
      <c r="I4332" s="3" t="s">
        <v>7043</v>
      </c>
      <c r="J4332" s="3"/>
      <c r="K4332" s="3"/>
      <c r="L4332" s="5"/>
    </row>
    <row r="4333" spans="1:12" ht="28.8" x14ac:dyDescent="0.55000000000000004">
      <c r="A4333" s="9" t="str">
        <f>HYPERLINK("PDF\FOIA-FWS-2020-00724-0004332.pdf","FOIA-FWS-2020-00724-0004332")</f>
        <v>FOIA-FWS-2020-00724-0004332</v>
      </c>
      <c r="B4333" s="3" t="s">
        <v>6888</v>
      </c>
      <c r="C4333" s="3" t="s">
        <v>3</v>
      </c>
      <c r="D4333" s="3" t="s">
        <v>33</v>
      </c>
      <c r="E4333" s="3" t="s">
        <v>6889</v>
      </c>
      <c r="F4333" s="4">
        <v>43951.834027777775</v>
      </c>
      <c r="G4333" s="3" t="s">
        <v>2022</v>
      </c>
      <c r="H4333" s="3" t="s">
        <v>2179</v>
      </c>
      <c r="I4333" s="3" t="s">
        <v>7043</v>
      </c>
      <c r="J4333" s="3"/>
      <c r="K4333" s="3"/>
      <c r="L4333" s="5"/>
    </row>
    <row r="4334" spans="1:12" ht="28.8" x14ac:dyDescent="0.55000000000000004">
      <c r="A4334" s="9" t="str">
        <f>HYPERLINK("PDF\FOIA-FWS-2020-00724-0004333.pdf","FOIA-FWS-2020-00724-0004333")</f>
        <v>FOIA-FWS-2020-00724-0004333</v>
      </c>
      <c r="B4334" s="3" t="s">
        <v>6888</v>
      </c>
      <c r="C4334" s="3" t="s">
        <v>234</v>
      </c>
      <c r="D4334" s="3" t="s">
        <v>33</v>
      </c>
      <c r="E4334" s="3" t="s">
        <v>6890</v>
      </c>
      <c r="F4334" s="4">
        <v>43951.834027777775</v>
      </c>
      <c r="G4334" s="3"/>
      <c r="H4334" s="3"/>
      <c r="I4334" s="3" t="s">
        <v>7043</v>
      </c>
      <c r="J4334" s="3"/>
      <c r="K4334" s="3"/>
      <c r="L4334" s="5"/>
    </row>
    <row r="4335" spans="1:12" ht="28.8" x14ac:dyDescent="0.55000000000000004">
      <c r="A4335" s="9" t="str">
        <f>HYPERLINK("PDF\FOIA-FWS-2020-00724-0004334.pdf","FOIA-FWS-2020-00724-0004334")</f>
        <v>FOIA-FWS-2020-00724-0004334</v>
      </c>
      <c r="B4335" s="3" t="s">
        <v>6891</v>
      </c>
      <c r="C4335" s="3" t="s">
        <v>3</v>
      </c>
      <c r="D4335" s="3" t="s">
        <v>33</v>
      </c>
      <c r="E4335" s="3" t="s">
        <v>6889</v>
      </c>
      <c r="F4335" s="4">
        <v>43952.675694444442</v>
      </c>
      <c r="G4335" s="3" t="s">
        <v>2022</v>
      </c>
      <c r="H4335" s="3" t="s">
        <v>2179</v>
      </c>
      <c r="I4335" s="3" t="s">
        <v>7043</v>
      </c>
      <c r="J4335" s="3"/>
      <c r="K4335" s="3"/>
      <c r="L4335" s="5"/>
    </row>
    <row r="4336" spans="1:12" ht="28.8" x14ac:dyDescent="0.55000000000000004">
      <c r="A4336" s="9" t="str">
        <f>HYPERLINK("PDF\FOIA-FWS-2020-00724-0004335.pdf","FOIA-FWS-2020-00724-0004335")</f>
        <v>FOIA-FWS-2020-00724-0004335</v>
      </c>
      <c r="B4336" s="3" t="s">
        <v>6891</v>
      </c>
      <c r="C4336" s="3" t="s">
        <v>234</v>
      </c>
      <c r="D4336" s="3" t="s">
        <v>33</v>
      </c>
      <c r="E4336" s="3" t="s">
        <v>6892</v>
      </c>
      <c r="F4336" s="4">
        <v>43952.675694444442</v>
      </c>
      <c r="G4336" s="3"/>
      <c r="H4336" s="3"/>
      <c r="I4336" s="3" t="s">
        <v>7043</v>
      </c>
      <c r="J4336" s="3"/>
      <c r="K4336" s="3"/>
      <c r="L4336" s="5"/>
    </row>
    <row r="4337" spans="1:12" ht="43.2" x14ac:dyDescent="0.55000000000000004">
      <c r="A4337" s="9" t="str">
        <f>HYPERLINK("PDF\FOIA-FWS-2020-00724-0004336.pdf","FOIA-FWS-2020-00724-0004336")</f>
        <v>FOIA-FWS-2020-00724-0004336</v>
      </c>
      <c r="B4337" s="3" t="s">
        <v>6893</v>
      </c>
      <c r="C4337" s="3" t="s">
        <v>3</v>
      </c>
      <c r="D4337" s="3" t="s">
        <v>33</v>
      </c>
      <c r="E4337" s="3" t="s">
        <v>6894</v>
      </c>
      <c r="F4337" s="4">
        <v>43955</v>
      </c>
      <c r="G4337" s="3"/>
      <c r="H4337" s="3"/>
      <c r="I4337" s="3" t="s">
        <v>7043</v>
      </c>
      <c r="J4337" s="3"/>
      <c r="K4337" s="3"/>
      <c r="L4337" s="5"/>
    </row>
    <row r="4338" spans="1:12" ht="28.8" x14ac:dyDescent="0.55000000000000004">
      <c r="A4338" s="9" t="str">
        <f>HYPERLINK("PDF\FOIA-FWS-2020-00724-0004337.pdf","FOIA-FWS-2020-00724-0004337")</f>
        <v>FOIA-FWS-2020-00724-0004337</v>
      </c>
      <c r="B4338" s="3" t="s">
        <v>6895</v>
      </c>
      <c r="C4338" s="3" t="s">
        <v>3</v>
      </c>
      <c r="D4338" s="3" t="s">
        <v>33</v>
      </c>
      <c r="E4338" s="3" t="s">
        <v>6897</v>
      </c>
      <c r="F4338" s="4">
        <v>43955.772222222222</v>
      </c>
      <c r="G4338" s="3" t="s">
        <v>1024</v>
      </c>
      <c r="H4338" s="3" t="s">
        <v>6896</v>
      </c>
      <c r="I4338" s="3" t="s">
        <v>7043</v>
      </c>
      <c r="J4338" s="3"/>
      <c r="K4338" s="3"/>
      <c r="L4338" s="5"/>
    </row>
    <row r="4339" spans="1:12" ht="28.8" x14ac:dyDescent="0.55000000000000004">
      <c r="A4339" s="9" t="str">
        <f>HYPERLINK("PDF\FOIA-FWS-2020-00724-0004338.pdf","FOIA-FWS-2020-00724-0004338")</f>
        <v>FOIA-FWS-2020-00724-0004338</v>
      </c>
      <c r="B4339" s="3" t="s">
        <v>6895</v>
      </c>
      <c r="C4339" s="3" t="s">
        <v>234</v>
      </c>
      <c r="D4339" s="3" t="s">
        <v>33</v>
      </c>
      <c r="E4339" s="3" t="s">
        <v>6898</v>
      </c>
      <c r="F4339" s="4">
        <v>43955.772222222222</v>
      </c>
      <c r="G4339" s="3"/>
      <c r="H4339" s="3"/>
      <c r="I4339" s="3" t="s">
        <v>7043</v>
      </c>
      <c r="J4339" s="3"/>
      <c r="K4339" s="3"/>
      <c r="L4339" s="5"/>
    </row>
    <row r="4340" spans="1:12" ht="28.8" x14ac:dyDescent="0.55000000000000004">
      <c r="A4340" s="9" t="str">
        <f>HYPERLINK("PDF\FOIA-FWS-2020-00724-0004339.pdf","FOIA-FWS-2020-00724-0004339")</f>
        <v>FOIA-FWS-2020-00724-0004339</v>
      </c>
      <c r="B4340" s="3" t="s">
        <v>6899</v>
      </c>
      <c r="C4340" s="3" t="s">
        <v>3</v>
      </c>
      <c r="D4340" s="3" t="s">
        <v>33</v>
      </c>
      <c r="E4340" s="3" t="s">
        <v>6900</v>
      </c>
      <c r="F4340" s="4">
        <v>43955.792361111111</v>
      </c>
      <c r="G4340" s="3" t="s">
        <v>1024</v>
      </c>
      <c r="H4340" s="3" t="s">
        <v>2179</v>
      </c>
      <c r="I4340" s="3" t="s">
        <v>7043</v>
      </c>
      <c r="J4340" s="3"/>
      <c r="K4340" s="3"/>
      <c r="L4340" s="5"/>
    </row>
    <row r="4341" spans="1:12" ht="28.8" x14ac:dyDescent="0.55000000000000004">
      <c r="A4341" s="9" t="str">
        <f>HYPERLINK("PDF\FOIA-FWS-2020-00724-0004340.pdf","FOIA-FWS-2020-00724-0004340")</f>
        <v>FOIA-FWS-2020-00724-0004340</v>
      </c>
      <c r="B4341" s="3" t="s">
        <v>6901</v>
      </c>
      <c r="C4341" s="3" t="s">
        <v>3</v>
      </c>
      <c r="D4341" s="3" t="s">
        <v>33</v>
      </c>
      <c r="E4341" s="3" t="s">
        <v>6903</v>
      </c>
      <c r="F4341" s="4">
        <v>43956.628472222219</v>
      </c>
      <c r="G4341" s="3" t="s">
        <v>4328</v>
      </c>
      <c r="H4341" s="3" t="s">
        <v>6902</v>
      </c>
      <c r="I4341" s="3" t="s">
        <v>7043</v>
      </c>
      <c r="J4341" s="3"/>
      <c r="K4341" s="3"/>
      <c r="L4341" s="5"/>
    </row>
    <row r="4342" spans="1:12" ht="28.8" x14ac:dyDescent="0.55000000000000004">
      <c r="A4342" s="9" t="str">
        <f>HYPERLINK("PDF\FOIA-FWS-2020-00724-0004341.pdf","FOIA-FWS-2020-00724-0004341")</f>
        <v>FOIA-FWS-2020-00724-0004341</v>
      </c>
      <c r="B4342" s="3" t="s">
        <v>6904</v>
      </c>
      <c r="C4342" s="3" t="s">
        <v>3</v>
      </c>
      <c r="D4342" s="3" t="s">
        <v>33</v>
      </c>
      <c r="E4342" s="3" t="s">
        <v>6903</v>
      </c>
      <c r="F4342" s="4">
        <v>43956.633333333331</v>
      </c>
      <c r="G4342" s="3" t="s">
        <v>1024</v>
      </c>
      <c r="H4342" s="3" t="s">
        <v>6905</v>
      </c>
      <c r="I4342" s="3" t="s">
        <v>7043</v>
      </c>
      <c r="J4342" s="3"/>
      <c r="K4342" s="3"/>
      <c r="L4342" s="5"/>
    </row>
    <row r="4343" spans="1:12" ht="28.8" x14ac:dyDescent="0.55000000000000004">
      <c r="A4343" s="9" t="str">
        <f>HYPERLINK("PDF\FOIA-FWS-2020-00724-0004342.pdf","FOIA-FWS-2020-00724-0004342")</f>
        <v>FOIA-FWS-2020-00724-0004342</v>
      </c>
      <c r="B4343" s="3" t="s">
        <v>6906</v>
      </c>
      <c r="C4343" s="3" t="s">
        <v>3</v>
      </c>
      <c r="D4343" s="3" t="s">
        <v>33</v>
      </c>
      <c r="E4343" s="3" t="s">
        <v>6908</v>
      </c>
      <c r="F4343" s="4">
        <v>43956.646527777775</v>
      </c>
      <c r="G4343" s="3" t="s">
        <v>1306</v>
      </c>
      <c r="H4343" s="3" t="s">
        <v>6907</v>
      </c>
      <c r="I4343" s="3" t="s">
        <v>7043</v>
      </c>
      <c r="J4343" s="3"/>
      <c r="K4343" s="3"/>
      <c r="L4343" s="5"/>
    </row>
    <row r="4344" spans="1:12" ht="28.8" x14ac:dyDescent="0.55000000000000004">
      <c r="A4344" s="9" t="str">
        <f>HYPERLINK("PDF\FOIA-FWS-2020-00724-0004343.pdf","FOIA-FWS-2020-00724-0004343")</f>
        <v>FOIA-FWS-2020-00724-0004343</v>
      </c>
      <c r="B4344" s="3" t="s">
        <v>6906</v>
      </c>
      <c r="C4344" s="3" t="s">
        <v>234</v>
      </c>
      <c r="D4344" s="3" t="s">
        <v>33</v>
      </c>
      <c r="E4344" s="3" t="s">
        <v>6909</v>
      </c>
      <c r="F4344" s="4">
        <v>43956.646527777775</v>
      </c>
      <c r="G4344" s="3"/>
      <c r="H4344" s="3"/>
      <c r="I4344" s="3" t="s">
        <v>7043</v>
      </c>
      <c r="J4344" s="3"/>
      <c r="K4344" s="3"/>
      <c r="L4344" s="5"/>
    </row>
    <row r="4345" spans="1:12" ht="28.8" x14ac:dyDescent="0.55000000000000004">
      <c r="A4345" s="9" t="str">
        <f>HYPERLINK("PDF\FOIA-FWS-2020-00724-0004344.pdf","FOIA-FWS-2020-00724-0004344")</f>
        <v>FOIA-FWS-2020-00724-0004344</v>
      </c>
      <c r="B4345" s="3" t="s">
        <v>6910</v>
      </c>
      <c r="C4345" s="3" t="s">
        <v>3</v>
      </c>
      <c r="D4345" s="3" t="s">
        <v>33</v>
      </c>
      <c r="E4345" s="3" t="s">
        <v>6912</v>
      </c>
      <c r="F4345" s="4">
        <v>43957.504166666666</v>
      </c>
      <c r="G4345" s="3" t="s">
        <v>6911</v>
      </c>
      <c r="H4345" s="3" t="s">
        <v>2179</v>
      </c>
      <c r="I4345" s="3" t="s">
        <v>7043</v>
      </c>
      <c r="J4345" s="3"/>
      <c r="K4345" s="3"/>
      <c r="L4345" s="5"/>
    </row>
    <row r="4346" spans="1:12" ht="28.8" x14ac:dyDescent="0.55000000000000004">
      <c r="A4346" s="9" t="str">
        <f>HYPERLINK("PDF\FOIA-FWS-2020-00724-0004345.pdf","FOIA-FWS-2020-00724-0004345")</f>
        <v>FOIA-FWS-2020-00724-0004345</v>
      </c>
      <c r="B4346" s="3" t="s">
        <v>6913</v>
      </c>
      <c r="C4346" s="3" t="s">
        <v>3</v>
      </c>
      <c r="D4346" s="3" t="s">
        <v>33</v>
      </c>
      <c r="E4346" s="3" t="s">
        <v>6914</v>
      </c>
      <c r="F4346" s="4">
        <v>43958.59097222222</v>
      </c>
      <c r="G4346" s="3" t="s">
        <v>4328</v>
      </c>
      <c r="H4346" s="3" t="s">
        <v>3123</v>
      </c>
      <c r="I4346" s="3" t="s">
        <v>7043</v>
      </c>
      <c r="J4346" s="3"/>
      <c r="K4346" s="3"/>
      <c r="L4346" s="5"/>
    </row>
    <row r="4347" spans="1:12" ht="28.8" x14ac:dyDescent="0.55000000000000004">
      <c r="A4347" s="9" t="str">
        <f>HYPERLINK("PDF\FOIA-FWS-2020-00724-0004346.pdf","FOIA-FWS-2020-00724-0004346")</f>
        <v>FOIA-FWS-2020-00724-0004346</v>
      </c>
      <c r="B4347" s="3" t="s">
        <v>6915</v>
      </c>
      <c r="C4347" s="3" t="s">
        <v>3</v>
      </c>
      <c r="D4347" s="3" t="s">
        <v>33</v>
      </c>
      <c r="E4347" s="3" t="s">
        <v>6917</v>
      </c>
      <c r="F4347" s="4">
        <v>43958.668055555558</v>
      </c>
      <c r="G4347" s="3" t="s">
        <v>4328</v>
      </c>
      <c r="H4347" s="3" t="s">
        <v>6916</v>
      </c>
      <c r="I4347" s="3" t="s">
        <v>7043</v>
      </c>
      <c r="J4347" s="3"/>
      <c r="K4347" s="3"/>
      <c r="L4347" s="5"/>
    </row>
    <row r="4348" spans="1:12" ht="28.8" x14ac:dyDescent="0.55000000000000004">
      <c r="A4348" s="9" t="str">
        <f>HYPERLINK("PDF\FOIA-FWS-2020-00724-0004347.pdf","FOIA-FWS-2020-00724-0004347")</f>
        <v>FOIA-FWS-2020-00724-0004347</v>
      </c>
      <c r="B4348" s="3" t="s">
        <v>6918</v>
      </c>
      <c r="C4348" s="3" t="s">
        <v>3</v>
      </c>
      <c r="D4348" s="3" t="s">
        <v>33</v>
      </c>
      <c r="E4348" s="3" t="s">
        <v>6919</v>
      </c>
      <c r="F4348" s="4">
        <v>43962.693749999999</v>
      </c>
      <c r="G4348" s="3" t="s">
        <v>6285</v>
      </c>
      <c r="H4348" s="3" t="s">
        <v>1003</v>
      </c>
      <c r="I4348" s="3" t="s">
        <v>7043</v>
      </c>
      <c r="J4348" s="3"/>
      <c r="K4348" s="3"/>
      <c r="L4348" s="5"/>
    </row>
    <row r="4349" spans="1:12" ht="28.8" x14ac:dyDescent="0.55000000000000004">
      <c r="A4349" s="9" t="str">
        <f>HYPERLINK("PDF\FOIA-FWS-2020-00724-0004348.pdf","FOIA-FWS-2020-00724-0004348")</f>
        <v>FOIA-FWS-2020-00724-0004348</v>
      </c>
      <c r="B4349" s="3" t="s">
        <v>6920</v>
      </c>
      <c r="C4349" s="3" t="s">
        <v>3</v>
      </c>
      <c r="D4349" s="3" t="s">
        <v>33</v>
      </c>
      <c r="E4349" s="3" t="s">
        <v>6921</v>
      </c>
      <c r="F4349" s="4">
        <v>43962.711111111108</v>
      </c>
      <c r="G4349" s="3" t="s">
        <v>6285</v>
      </c>
      <c r="H4349" s="3" t="s">
        <v>963</v>
      </c>
      <c r="I4349" s="3" t="s">
        <v>7043</v>
      </c>
      <c r="J4349" s="3"/>
      <c r="K4349" s="3"/>
      <c r="L4349" s="5"/>
    </row>
    <row r="4350" spans="1:12" ht="28.8" x14ac:dyDescent="0.55000000000000004">
      <c r="A4350" s="9" t="str">
        <f>HYPERLINK("PDF\FOIA-FWS-2020-00724-0004349.pdf","FOIA-FWS-2020-00724-0004349")</f>
        <v>FOIA-FWS-2020-00724-0004349</v>
      </c>
      <c r="B4350" s="3" t="s">
        <v>6920</v>
      </c>
      <c r="C4350" s="3" t="s">
        <v>234</v>
      </c>
      <c r="D4350" s="3" t="s">
        <v>33</v>
      </c>
      <c r="E4350" s="3" t="s">
        <v>6922</v>
      </c>
      <c r="F4350" s="4">
        <v>43962.711111111108</v>
      </c>
      <c r="G4350" s="3"/>
      <c r="H4350" s="3"/>
      <c r="I4350" s="3" t="s">
        <v>7043</v>
      </c>
      <c r="J4350" s="3"/>
      <c r="K4350" s="3"/>
      <c r="L4350" s="5"/>
    </row>
    <row r="4351" spans="1:12" ht="28.8" x14ac:dyDescent="0.55000000000000004">
      <c r="A4351" s="9" t="str">
        <f>HYPERLINK("PDF\FOIA-FWS-2020-00724-0004350.pdf","FOIA-FWS-2020-00724-0004350")</f>
        <v>FOIA-FWS-2020-00724-0004350</v>
      </c>
      <c r="B4351" s="3" t="s">
        <v>6923</v>
      </c>
      <c r="C4351" s="3" t="s">
        <v>3</v>
      </c>
      <c r="D4351" s="3" t="s">
        <v>33</v>
      </c>
      <c r="E4351" s="3" t="s">
        <v>6925</v>
      </c>
      <c r="F4351" s="4">
        <v>43962.843055555553</v>
      </c>
      <c r="G4351" s="3" t="s">
        <v>1024</v>
      </c>
      <c r="H4351" s="3" t="s">
        <v>6924</v>
      </c>
      <c r="I4351" s="3" t="s">
        <v>7043</v>
      </c>
      <c r="J4351" s="3"/>
      <c r="K4351" s="3"/>
      <c r="L4351" s="5"/>
    </row>
    <row r="4352" spans="1:12" ht="28.8" x14ac:dyDescent="0.55000000000000004">
      <c r="A4352" s="9" t="str">
        <f>HYPERLINK("PDF\FOIA-FWS-2020-00724-0004351.pdf","FOIA-FWS-2020-00724-0004351")</f>
        <v>FOIA-FWS-2020-00724-0004351</v>
      </c>
      <c r="B4352" s="3" t="s">
        <v>6926</v>
      </c>
      <c r="C4352" s="3" t="s">
        <v>3</v>
      </c>
      <c r="D4352" s="3" t="s">
        <v>33</v>
      </c>
      <c r="E4352" s="3" t="s">
        <v>6928</v>
      </c>
      <c r="F4352" s="4">
        <v>43963.767361111109</v>
      </c>
      <c r="G4352" s="3" t="s">
        <v>1024</v>
      </c>
      <c r="H4352" s="3" t="s">
        <v>6927</v>
      </c>
      <c r="I4352" s="3" t="s">
        <v>7043</v>
      </c>
      <c r="J4352" s="3"/>
      <c r="K4352" s="3"/>
      <c r="L4352" s="5"/>
    </row>
    <row r="4353" spans="1:12" ht="28.8" x14ac:dyDescent="0.55000000000000004">
      <c r="A4353" s="9" t="str">
        <f>HYPERLINK("PDF\FOIA-FWS-2020-00724-0004352.pdf","FOIA-FWS-2020-00724-0004352")</f>
        <v>FOIA-FWS-2020-00724-0004352</v>
      </c>
      <c r="B4353" s="3" t="s">
        <v>6926</v>
      </c>
      <c r="C4353" s="3" t="s">
        <v>234</v>
      </c>
      <c r="D4353" s="3" t="s">
        <v>33</v>
      </c>
      <c r="E4353" s="3" t="s">
        <v>6929</v>
      </c>
      <c r="F4353" s="4">
        <v>43963.767361111109</v>
      </c>
      <c r="G4353" s="3"/>
      <c r="H4353" s="3"/>
      <c r="I4353" s="3" t="s">
        <v>7043</v>
      </c>
      <c r="J4353" s="3"/>
      <c r="K4353" s="3"/>
      <c r="L4353" s="5"/>
    </row>
    <row r="4354" spans="1:12" ht="28.8" x14ac:dyDescent="0.55000000000000004">
      <c r="A4354" s="9" t="str">
        <f>HYPERLINK("PDF\FOIA-FWS-2020-00724-0004353.pdf","FOIA-FWS-2020-00724-0004353")</f>
        <v>FOIA-FWS-2020-00724-0004353</v>
      </c>
      <c r="B4354" s="3" t="s">
        <v>6926</v>
      </c>
      <c r="C4354" s="3" t="s">
        <v>234</v>
      </c>
      <c r="D4354" s="3" t="s">
        <v>33</v>
      </c>
      <c r="E4354" s="3" t="s">
        <v>6930</v>
      </c>
      <c r="F4354" s="4">
        <v>43963.767361111109</v>
      </c>
      <c r="G4354" s="3"/>
      <c r="H4354" s="3"/>
      <c r="I4354" s="3" t="s">
        <v>7043</v>
      </c>
      <c r="J4354" s="3"/>
      <c r="K4354" s="3"/>
      <c r="L4354" s="5"/>
    </row>
    <row r="4355" spans="1:12" ht="28.8" x14ac:dyDescent="0.55000000000000004">
      <c r="A4355" s="9" t="str">
        <f>HYPERLINK("PDF\FOIA-FWS-2020-00724-0004354.pdf","FOIA-FWS-2020-00724-0004354")</f>
        <v>FOIA-FWS-2020-00724-0004354</v>
      </c>
      <c r="B4355" s="3" t="s">
        <v>6926</v>
      </c>
      <c r="C4355" s="3" t="s">
        <v>234</v>
      </c>
      <c r="D4355" s="3" t="s">
        <v>33</v>
      </c>
      <c r="E4355" s="3" t="s">
        <v>6931</v>
      </c>
      <c r="F4355" s="4">
        <v>43963.767361111109</v>
      </c>
      <c r="G4355" s="3"/>
      <c r="H4355" s="3"/>
      <c r="I4355" s="3" t="s">
        <v>7043</v>
      </c>
      <c r="J4355" s="3"/>
      <c r="K4355" s="3"/>
      <c r="L4355" s="5"/>
    </row>
    <row r="4356" spans="1:12" ht="28.8" x14ac:dyDescent="0.55000000000000004">
      <c r="A4356" s="9" t="str">
        <f>HYPERLINK("PDF\FOIA-FWS-2020-00724-0004355.pdf","FOIA-FWS-2020-00724-0004355")</f>
        <v>FOIA-FWS-2020-00724-0004355</v>
      </c>
      <c r="B4356" s="3" t="s">
        <v>6932</v>
      </c>
      <c r="C4356" s="3" t="s">
        <v>3</v>
      </c>
      <c r="D4356" s="3" t="s">
        <v>33</v>
      </c>
      <c r="E4356" s="3" t="s">
        <v>6933</v>
      </c>
      <c r="F4356" s="4">
        <v>43963.806944444441</v>
      </c>
      <c r="G4356" s="3" t="s">
        <v>1024</v>
      </c>
      <c r="H4356" s="3" t="s">
        <v>2179</v>
      </c>
      <c r="I4356" s="3" t="s">
        <v>7043</v>
      </c>
      <c r="J4356" s="3"/>
      <c r="K4356" s="3"/>
      <c r="L4356" s="5"/>
    </row>
    <row r="4357" spans="1:12" ht="28.8" x14ac:dyDescent="0.55000000000000004">
      <c r="A4357" s="9" t="str">
        <f>HYPERLINK("PDF\FOIA-FWS-2020-00724-0004356.pdf","FOIA-FWS-2020-00724-0004356")</f>
        <v>FOIA-FWS-2020-00724-0004356</v>
      </c>
      <c r="B4357" s="3" t="s">
        <v>6932</v>
      </c>
      <c r="C4357" s="3" t="s">
        <v>234</v>
      </c>
      <c r="D4357" s="3" t="s">
        <v>33</v>
      </c>
      <c r="E4357" s="3" t="s">
        <v>6934</v>
      </c>
      <c r="F4357" s="4">
        <v>43963.806944444441</v>
      </c>
      <c r="G4357" s="3"/>
      <c r="H4357" s="3"/>
      <c r="I4357" s="3" t="s">
        <v>7043</v>
      </c>
      <c r="J4357" s="3"/>
      <c r="K4357" s="3"/>
      <c r="L4357" s="5"/>
    </row>
    <row r="4358" spans="1:12" ht="28.8" x14ac:dyDescent="0.55000000000000004">
      <c r="A4358" s="9" t="str">
        <f>HYPERLINK("PDF\FOIA-FWS-2020-00724-0004357.pdf","FOIA-FWS-2020-00724-0004357")</f>
        <v>FOIA-FWS-2020-00724-0004357</v>
      </c>
      <c r="B4358" s="3" t="s">
        <v>6935</v>
      </c>
      <c r="C4358" s="3" t="s">
        <v>3</v>
      </c>
      <c r="D4358" s="3" t="s">
        <v>33</v>
      </c>
      <c r="E4358" s="3" t="s">
        <v>6936</v>
      </c>
      <c r="F4358" s="4">
        <v>43964.488194444442</v>
      </c>
      <c r="G4358" s="3" t="s">
        <v>4328</v>
      </c>
      <c r="H4358" s="3" t="s">
        <v>1034</v>
      </c>
      <c r="I4358" s="3" t="s">
        <v>7043</v>
      </c>
      <c r="J4358" s="3"/>
      <c r="K4358" s="3"/>
      <c r="L4358" s="5"/>
    </row>
    <row r="4359" spans="1:12" ht="28.8" x14ac:dyDescent="0.55000000000000004">
      <c r="A4359" s="9" t="str">
        <f>HYPERLINK("PDF\FOIA-FWS-2020-00724-0004358.pdf","FOIA-FWS-2020-00724-0004358")</f>
        <v>FOIA-FWS-2020-00724-0004358</v>
      </c>
      <c r="B4359" s="3" t="s">
        <v>6935</v>
      </c>
      <c r="C4359" s="3" t="s">
        <v>234</v>
      </c>
      <c r="D4359" s="3" t="s">
        <v>33</v>
      </c>
      <c r="E4359" s="3" t="s">
        <v>6937</v>
      </c>
      <c r="F4359" s="4">
        <v>43964.488194444442</v>
      </c>
      <c r="G4359" s="3"/>
      <c r="H4359" s="3"/>
      <c r="I4359" s="3" t="s">
        <v>7043</v>
      </c>
      <c r="J4359" s="3"/>
      <c r="K4359" s="3"/>
      <c r="L4359" s="5"/>
    </row>
    <row r="4360" spans="1:12" ht="28.8" x14ac:dyDescent="0.55000000000000004">
      <c r="A4360" s="9" t="str">
        <f>HYPERLINK("PDF\FOIA-FWS-2020-00724-0004359.pdf","FOIA-FWS-2020-00724-0004359")</f>
        <v>FOIA-FWS-2020-00724-0004359</v>
      </c>
      <c r="B4360" s="3" t="s">
        <v>6938</v>
      </c>
      <c r="C4360" s="3" t="s">
        <v>3</v>
      </c>
      <c r="D4360" s="3" t="s">
        <v>33</v>
      </c>
      <c r="E4360" s="3" t="s">
        <v>6940</v>
      </c>
      <c r="F4360" s="4">
        <v>43964.492361111108</v>
      </c>
      <c r="G4360" s="3" t="s">
        <v>2179</v>
      </c>
      <c r="H4360" s="3" t="s">
        <v>6939</v>
      </c>
      <c r="I4360" s="3" t="s">
        <v>7043</v>
      </c>
      <c r="J4360" s="3"/>
      <c r="K4360" s="3"/>
      <c r="L4360" s="5"/>
    </row>
    <row r="4361" spans="1:12" ht="28.8" x14ac:dyDescent="0.55000000000000004">
      <c r="A4361" s="9" t="str">
        <f>HYPERLINK("PDF\FOIA-FWS-2020-00724-0004360.pdf","FOIA-FWS-2020-00724-0004360")</f>
        <v>FOIA-FWS-2020-00724-0004360</v>
      </c>
      <c r="B4361" s="3" t="s">
        <v>6938</v>
      </c>
      <c r="C4361" s="3" t="s">
        <v>234</v>
      </c>
      <c r="D4361" s="3" t="s">
        <v>33</v>
      </c>
      <c r="E4361" s="3" t="s">
        <v>6929</v>
      </c>
      <c r="F4361" s="4">
        <v>43964.492361111108</v>
      </c>
      <c r="G4361" s="3"/>
      <c r="H4361" s="3"/>
      <c r="I4361" s="3" t="s">
        <v>7043</v>
      </c>
      <c r="J4361" s="3"/>
      <c r="K4361" s="3"/>
      <c r="L4361" s="5"/>
    </row>
    <row r="4362" spans="1:12" ht="28.8" x14ac:dyDescent="0.55000000000000004">
      <c r="A4362" s="9" t="str">
        <f>HYPERLINK("PDF\FOIA-FWS-2020-00724-0004361.pdf","FOIA-FWS-2020-00724-0004361")</f>
        <v>FOIA-FWS-2020-00724-0004361</v>
      </c>
      <c r="B4362" s="3" t="s">
        <v>6938</v>
      </c>
      <c r="C4362" s="3" t="s">
        <v>234</v>
      </c>
      <c r="D4362" s="3" t="s">
        <v>33</v>
      </c>
      <c r="E4362" s="3" t="s">
        <v>6930</v>
      </c>
      <c r="F4362" s="4">
        <v>43964.492361111108</v>
      </c>
      <c r="G4362" s="3"/>
      <c r="H4362" s="3"/>
      <c r="I4362" s="3" t="s">
        <v>7043</v>
      </c>
      <c r="J4362" s="3"/>
      <c r="K4362" s="3"/>
      <c r="L4362" s="5"/>
    </row>
    <row r="4363" spans="1:12" ht="28.8" x14ac:dyDescent="0.55000000000000004">
      <c r="A4363" s="9" t="str">
        <f>HYPERLINK("PDF\FOIA-FWS-2020-00724-0004362.pdf","FOIA-FWS-2020-00724-0004362")</f>
        <v>FOIA-FWS-2020-00724-0004362</v>
      </c>
      <c r="B4363" s="3" t="s">
        <v>6938</v>
      </c>
      <c r="C4363" s="3" t="s">
        <v>234</v>
      </c>
      <c r="D4363" s="3" t="s">
        <v>33</v>
      </c>
      <c r="E4363" s="3" t="s">
        <v>6931</v>
      </c>
      <c r="F4363" s="4">
        <v>43964.492361111108</v>
      </c>
      <c r="G4363" s="3"/>
      <c r="H4363" s="3"/>
      <c r="I4363" s="3" t="s">
        <v>7043</v>
      </c>
      <c r="J4363" s="3"/>
      <c r="K4363" s="3"/>
      <c r="L4363" s="5"/>
    </row>
    <row r="4364" spans="1:12" ht="28.8" x14ac:dyDescent="0.55000000000000004">
      <c r="A4364" s="9" t="str">
        <f>HYPERLINK("PDF\FOIA-FWS-2020-00724-0004363.pdf","FOIA-FWS-2020-00724-0004363")</f>
        <v>FOIA-FWS-2020-00724-0004363</v>
      </c>
      <c r="B4364" s="3" t="s">
        <v>6941</v>
      </c>
      <c r="C4364" s="3" t="s">
        <v>3</v>
      </c>
      <c r="D4364" s="3" t="s">
        <v>33</v>
      </c>
      <c r="E4364" s="3" t="s">
        <v>6943</v>
      </c>
      <c r="F4364" s="4">
        <v>43964.504861111112</v>
      </c>
      <c r="G4364" s="3" t="s">
        <v>1306</v>
      </c>
      <c r="H4364" s="3" t="s">
        <v>6942</v>
      </c>
      <c r="I4364" s="3" t="s">
        <v>7043</v>
      </c>
      <c r="J4364" s="3"/>
      <c r="K4364" s="3"/>
      <c r="L4364" s="5"/>
    </row>
    <row r="4365" spans="1:12" ht="28.8" x14ac:dyDescent="0.55000000000000004">
      <c r="A4365" s="9" t="str">
        <f>HYPERLINK("PDF\FOIA-FWS-2020-00724-0004364.pdf","FOIA-FWS-2020-00724-0004364")</f>
        <v>FOIA-FWS-2020-00724-0004364</v>
      </c>
      <c r="B4365" s="3" t="s">
        <v>6944</v>
      </c>
      <c r="C4365" s="3" t="s">
        <v>3</v>
      </c>
      <c r="D4365" s="3" t="s">
        <v>33</v>
      </c>
      <c r="E4365" s="3" t="s">
        <v>6945</v>
      </c>
      <c r="F4365" s="4">
        <v>43964.624305555553</v>
      </c>
      <c r="G4365" s="3" t="s">
        <v>1631</v>
      </c>
      <c r="H4365" s="3" t="s">
        <v>2179</v>
      </c>
      <c r="I4365" s="3" t="s">
        <v>7043</v>
      </c>
      <c r="J4365" s="3"/>
      <c r="K4365" s="3"/>
      <c r="L4365" s="5"/>
    </row>
    <row r="4366" spans="1:12" ht="28.8" x14ac:dyDescent="0.55000000000000004">
      <c r="A4366" s="9" t="str">
        <f>HYPERLINK("PDF\FOIA-FWS-2020-00724-0004365.pdf","FOIA-FWS-2020-00724-0004365")</f>
        <v>FOIA-FWS-2020-00724-0004365</v>
      </c>
      <c r="B4366" s="3" t="s">
        <v>6944</v>
      </c>
      <c r="C4366" s="3" t="s">
        <v>234</v>
      </c>
      <c r="D4366" s="3" t="s">
        <v>33</v>
      </c>
      <c r="E4366" s="3" t="s">
        <v>6946</v>
      </c>
      <c r="F4366" s="4">
        <v>43964.624305555553</v>
      </c>
      <c r="G4366" s="3"/>
      <c r="H4366" s="3"/>
      <c r="I4366" s="3" t="s">
        <v>7043</v>
      </c>
      <c r="J4366" s="3"/>
      <c r="K4366" s="3"/>
      <c r="L4366" s="5"/>
    </row>
    <row r="4367" spans="1:12" ht="129.6" x14ac:dyDescent="0.55000000000000004">
      <c r="A4367" s="9" t="str">
        <f>HYPERLINK("PDF\FOIA-FWS-2020-00724-0004366.pdf","FOIA-FWS-2020-00724-0004366")</f>
        <v>FOIA-FWS-2020-00724-0004366</v>
      </c>
      <c r="B4367" s="3" t="s">
        <v>6947</v>
      </c>
      <c r="C4367" s="3" t="s">
        <v>3</v>
      </c>
      <c r="D4367" s="3" t="s">
        <v>33</v>
      </c>
      <c r="E4367" s="3" t="s">
        <v>6948</v>
      </c>
      <c r="F4367" s="4">
        <v>43964.70416666667</v>
      </c>
      <c r="G4367" s="3" t="s">
        <v>2179</v>
      </c>
      <c r="H4367" s="3" t="s">
        <v>3479</v>
      </c>
      <c r="I4367" s="3" t="s">
        <v>7043</v>
      </c>
      <c r="J4367" s="3"/>
      <c r="K4367" s="3"/>
      <c r="L4367" s="5"/>
    </row>
    <row r="4368" spans="1:12" ht="28.8" x14ac:dyDescent="0.55000000000000004">
      <c r="A4368" s="9" t="str">
        <f>HYPERLINK("PDF\FOIA-FWS-2020-00724-0004367.pdf","FOIA-FWS-2020-00724-0004367")</f>
        <v>FOIA-FWS-2020-00724-0004367</v>
      </c>
      <c r="B4368" s="3" t="s">
        <v>6947</v>
      </c>
      <c r="C4368" s="3" t="s">
        <v>234</v>
      </c>
      <c r="D4368" s="3" t="s">
        <v>33</v>
      </c>
      <c r="E4368" s="3" t="s">
        <v>6949</v>
      </c>
      <c r="F4368" s="4">
        <v>43964.70416666667</v>
      </c>
      <c r="G4368" s="3"/>
      <c r="H4368" s="3"/>
      <c r="I4368" s="3" t="s">
        <v>7043</v>
      </c>
      <c r="J4368" s="3"/>
      <c r="K4368" s="3"/>
      <c r="L4368" s="5"/>
    </row>
    <row r="4369" spans="1:12" ht="144" x14ac:dyDescent="0.55000000000000004">
      <c r="A4369" s="9" t="str">
        <f>HYPERLINK("PDF\FOIA-FWS-2020-00724-0004368.pdf","FOIA-FWS-2020-00724-0004368")</f>
        <v>FOIA-FWS-2020-00724-0004368</v>
      </c>
      <c r="B4369" s="3" t="s">
        <v>6950</v>
      </c>
      <c r="C4369" s="3" t="s">
        <v>3</v>
      </c>
      <c r="D4369" s="3" t="s">
        <v>33</v>
      </c>
      <c r="E4369" s="3" t="s">
        <v>6951</v>
      </c>
      <c r="F4369" s="4">
        <v>43965.510416666664</v>
      </c>
      <c r="G4369" s="3" t="s">
        <v>3479</v>
      </c>
      <c r="H4369" s="3" t="s">
        <v>1631</v>
      </c>
      <c r="I4369" s="3" t="s">
        <v>7043</v>
      </c>
      <c r="J4369" s="3"/>
      <c r="K4369" s="3"/>
      <c r="L4369" s="5"/>
    </row>
    <row r="4370" spans="1:12" ht="28.8" x14ac:dyDescent="0.55000000000000004">
      <c r="A4370" s="9" t="str">
        <f>HYPERLINK("PDF\FOIA-FWS-2020-00724-0004369.pdf","FOIA-FWS-2020-00724-0004369")</f>
        <v>FOIA-FWS-2020-00724-0004369</v>
      </c>
      <c r="B4370" s="3" t="s">
        <v>6950</v>
      </c>
      <c r="C4370" s="3" t="s">
        <v>234</v>
      </c>
      <c r="D4370" s="3" t="s">
        <v>33</v>
      </c>
      <c r="E4370" s="3" t="s">
        <v>6949</v>
      </c>
      <c r="F4370" s="4">
        <v>43965.510416666664</v>
      </c>
      <c r="G4370" s="3"/>
      <c r="H4370" s="3"/>
      <c r="I4370" s="3" t="s">
        <v>7043</v>
      </c>
      <c r="J4370" s="3"/>
      <c r="K4370" s="3"/>
      <c r="L4370" s="5"/>
    </row>
    <row r="4371" spans="1:12" ht="144" x14ac:dyDescent="0.55000000000000004">
      <c r="A4371" s="9" t="str">
        <f>HYPERLINK("PDF\FOIA-FWS-2020-00724-0004370.pdf","FOIA-FWS-2020-00724-0004370")</f>
        <v>FOIA-FWS-2020-00724-0004370</v>
      </c>
      <c r="B4371" s="3" t="s">
        <v>6952</v>
      </c>
      <c r="C4371" s="3" t="s">
        <v>3</v>
      </c>
      <c r="D4371" s="3" t="s">
        <v>33</v>
      </c>
      <c r="E4371" s="3" t="s">
        <v>6953</v>
      </c>
      <c r="F4371" s="4">
        <v>43965.518055555556</v>
      </c>
      <c r="G4371" s="3" t="s">
        <v>2179</v>
      </c>
      <c r="H4371" s="3" t="s">
        <v>2179</v>
      </c>
      <c r="I4371" s="3" t="s">
        <v>7043</v>
      </c>
      <c r="J4371" s="3"/>
      <c r="K4371" s="3"/>
      <c r="L4371" s="5"/>
    </row>
    <row r="4372" spans="1:12" ht="57.6" x14ac:dyDescent="0.55000000000000004">
      <c r="A4372" s="9" t="str">
        <f>HYPERLINK("PDF\FOIA-FWS-2020-00724-0004371.pdf","FOIA-FWS-2020-00724-0004371")</f>
        <v>FOIA-FWS-2020-00724-0004371</v>
      </c>
      <c r="B4372" s="3" t="s">
        <v>6954</v>
      </c>
      <c r="C4372" s="3" t="s">
        <v>3</v>
      </c>
      <c r="D4372" s="3" t="s">
        <v>33</v>
      </c>
      <c r="E4372" s="3" t="s">
        <v>6956</v>
      </c>
      <c r="F4372" s="4">
        <v>43965.519444444442</v>
      </c>
      <c r="G4372" s="3" t="s">
        <v>6955</v>
      </c>
      <c r="H4372" s="3" t="s">
        <v>2179</v>
      </c>
      <c r="I4372" s="3" t="s">
        <v>7043</v>
      </c>
      <c r="J4372" s="3"/>
      <c r="K4372" s="3"/>
      <c r="L4372" s="5"/>
    </row>
    <row r="4373" spans="1:12" ht="144" x14ac:dyDescent="0.55000000000000004">
      <c r="A4373" s="9" t="str">
        <f>HYPERLINK("PDF\FOIA-FWS-2020-00724-0004372.pdf","FOIA-FWS-2020-00724-0004372")</f>
        <v>FOIA-FWS-2020-00724-0004372</v>
      </c>
      <c r="B4373" s="3" t="s">
        <v>6957</v>
      </c>
      <c r="C4373" s="3" t="s">
        <v>3</v>
      </c>
      <c r="D4373" s="3" t="s">
        <v>33</v>
      </c>
      <c r="E4373" s="3" t="s">
        <v>6953</v>
      </c>
      <c r="F4373" s="4">
        <v>43965.521527777775</v>
      </c>
      <c r="G4373" s="3" t="s">
        <v>2179</v>
      </c>
      <c r="H4373" s="3" t="s">
        <v>2179</v>
      </c>
      <c r="I4373" s="3" t="s">
        <v>7043</v>
      </c>
      <c r="J4373" s="3"/>
      <c r="K4373" s="3"/>
      <c r="L4373" s="5"/>
    </row>
    <row r="4374" spans="1:12" ht="144" x14ac:dyDescent="0.55000000000000004">
      <c r="A4374" s="9" t="str">
        <f>HYPERLINK("PDF\FOIA-FWS-2020-00724-0004373.pdf","FOIA-FWS-2020-00724-0004373")</f>
        <v>FOIA-FWS-2020-00724-0004373</v>
      </c>
      <c r="B4374" s="3" t="s">
        <v>6958</v>
      </c>
      <c r="C4374" s="3" t="s">
        <v>3</v>
      </c>
      <c r="D4374" s="3" t="s">
        <v>33</v>
      </c>
      <c r="E4374" s="3" t="s">
        <v>6953</v>
      </c>
      <c r="F4374" s="4">
        <v>43965.525000000001</v>
      </c>
      <c r="G4374" s="3" t="s">
        <v>2179</v>
      </c>
      <c r="H4374" s="3" t="s">
        <v>2179</v>
      </c>
      <c r="I4374" s="3" t="s">
        <v>7043</v>
      </c>
      <c r="J4374" s="3"/>
      <c r="K4374" s="3"/>
      <c r="L4374" s="5"/>
    </row>
    <row r="4375" spans="1:12" ht="144" x14ac:dyDescent="0.55000000000000004">
      <c r="A4375" s="9" t="str">
        <f>HYPERLINK("PDF\FOIA-FWS-2020-00724-0004374.pdf","FOIA-FWS-2020-00724-0004374")</f>
        <v>FOIA-FWS-2020-00724-0004374</v>
      </c>
      <c r="B4375" s="3" t="s">
        <v>6959</v>
      </c>
      <c r="C4375" s="3" t="s">
        <v>3</v>
      </c>
      <c r="D4375" s="3" t="s">
        <v>33</v>
      </c>
      <c r="E4375" s="3" t="s">
        <v>6960</v>
      </c>
      <c r="F4375" s="4">
        <v>43965.52847222222</v>
      </c>
      <c r="G4375" s="3" t="s">
        <v>2179</v>
      </c>
      <c r="H4375" s="3" t="s">
        <v>2179</v>
      </c>
      <c r="I4375" s="3" t="s">
        <v>7043</v>
      </c>
      <c r="J4375" s="3"/>
      <c r="K4375" s="3"/>
      <c r="L4375" s="5"/>
    </row>
    <row r="4376" spans="1:12" ht="144" x14ac:dyDescent="0.55000000000000004">
      <c r="A4376" s="9" t="str">
        <f>HYPERLINK("PDF\FOIA-FWS-2020-00724-0004375.pdf","FOIA-FWS-2020-00724-0004375")</f>
        <v>FOIA-FWS-2020-00724-0004375</v>
      </c>
      <c r="B4376" s="3" t="s">
        <v>6961</v>
      </c>
      <c r="C4376" s="3" t="s">
        <v>3</v>
      </c>
      <c r="D4376" s="3" t="s">
        <v>33</v>
      </c>
      <c r="E4376" s="3" t="s">
        <v>6953</v>
      </c>
      <c r="F4376" s="4">
        <v>43965.532638888886</v>
      </c>
      <c r="G4376" s="3" t="s">
        <v>2179</v>
      </c>
      <c r="H4376" s="3" t="s">
        <v>2179</v>
      </c>
      <c r="I4376" s="3" t="s">
        <v>7043</v>
      </c>
      <c r="J4376" s="3"/>
      <c r="K4376" s="3"/>
      <c r="L4376" s="5"/>
    </row>
    <row r="4377" spans="1:12" ht="144" x14ac:dyDescent="0.55000000000000004">
      <c r="A4377" s="9" t="str">
        <f>HYPERLINK("PDF\FOIA-FWS-2020-00724-0004376.pdf","FOIA-FWS-2020-00724-0004376")</f>
        <v>FOIA-FWS-2020-00724-0004376</v>
      </c>
      <c r="B4377" s="3" t="s">
        <v>6962</v>
      </c>
      <c r="C4377" s="3" t="s">
        <v>3</v>
      </c>
      <c r="D4377" s="3" t="s">
        <v>33</v>
      </c>
      <c r="E4377" s="3" t="s">
        <v>6953</v>
      </c>
      <c r="F4377" s="4">
        <v>43965.534722222219</v>
      </c>
      <c r="G4377" s="3" t="s">
        <v>2179</v>
      </c>
      <c r="H4377" s="3" t="s">
        <v>2179</v>
      </c>
      <c r="I4377" s="3" t="s">
        <v>7043</v>
      </c>
      <c r="J4377" s="3"/>
      <c r="K4377" s="3"/>
      <c r="L4377" s="5"/>
    </row>
    <row r="4378" spans="1:12" ht="144" x14ac:dyDescent="0.55000000000000004">
      <c r="A4378" s="9" t="str">
        <f>HYPERLINK("PDF\FOIA-FWS-2020-00724-0004377.pdf","FOIA-FWS-2020-00724-0004377")</f>
        <v>FOIA-FWS-2020-00724-0004377</v>
      </c>
      <c r="B4378" s="3" t="s">
        <v>6963</v>
      </c>
      <c r="C4378" s="3" t="s">
        <v>3</v>
      </c>
      <c r="D4378" s="3" t="s">
        <v>33</v>
      </c>
      <c r="E4378" s="3" t="s">
        <v>6953</v>
      </c>
      <c r="F4378" s="4">
        <v>43965.552083333336</v>
      </c>
      <c r="G4378" s="3" t="s">
        <v>2179</v>
      </c>
      <c r="H4378" s="3" t="s">
        <v>2179</v>
      </c>
      <c r="I4378" s="3" t="s">
        <v>7043</v>
      </c>
      <c r="J4378" s="3"/>
      <c r="K4378" s="3"/>
      <c r="L4378" s="5"/>
    </row>
    <row r="4379" spans="1:12" ht="72" x14ac:dyDescent="0.55000000000000004">
      <c r="A4379" s="9" t="str">
        <f>HYPERLINK("PDF\FOIA-FWS-2020-00724-0004378.pdf","FOIA-FWS-2020-00724-0004378")</f>
        <v>FOIA-FWS-2020-00724-0004378</v>
      </c>
      <c r="B4379" s="3" t="s">
        <v>6964</v>
      </c>
      <c r="C4379" s="3" t="s">
        <v>3</v>
      </c>
      <c r="D4379" s="3" t="s">
        <v>33</v>
      </c>
      <c r="E4379" s="3" t="s">
        <v>6966</v>
      </c>
      <c r="F4379" s="4">
        <v>43965.603472222225</v>
      </c>
      <c r="G4379" s="3" t="s">
        <v>1012</v>
      </c>
      <c r="H4379" s="3" t="s">
        <v>6965</v>
      </c>
      <c r="I4379" s="3" t="s">
        <v>7043</v>
      </c>
      <c r="J4379" s="3"/>
      <c r="K4379" s="3"/>
      <c r="L4379" s="5"/>
    </row>
    <row r="4380" spans="1:12" ht="57.6" x14ac:dyDescent="0.55000000000000004">
      <c r="A4380" s="9" t="str">
        <f>HYPERLINK("PDF\FOIA-FWS-2020-00724-0004379.pdf","FOIA-FWS-2020-00724-0004379")</f>
        <v>FOIA-FWS-2020-00724-0004379</v>
      </c>
      <c r="B4380" s="3" t="s">
        <v>6967</v>
      </c>
      <c r="C4380" s="3" t="s">
        <v>3</v>
      </c>
      <c r="D4380" s="3" t="s">
        <v>33</v>
      </c>
      <c r="E4380" s="3" t="s">
        <v>6968</v>
      </c>
      <c r="F4380" s="4">
        <v>43965.645138888889</v>
      </c>
      <c r="G4380" s="3" t="s">
        <v>4328</v>
      </c>
      <c r="H4380" s="3"/>
      <c r="I4380" s="3" t="s">
        <v>7043</v>
      </c>
      <c r="J4380" s="3"/>
      <c r="K4380" s="3"/>
      <c r="L4380" s="5"/>
    </row>
    <row r="4381" spans="1:12" ht="28.8" x14ac:dyDescent="0.55000000000000004">
      <c r="A4381" s="9" t="str">
        <f>HYPERLINK("PDF\FOIA-FWS-2020-00724-0004380.pdf","FOIA-FWS-2020-00724-0004380")</f>
        <v>FOIA-FWS-2020-00724-0004380</v>
      </c>
      <c r="B4381" s="3" t="s">
        <v>6967</v>
      </c>
      <c r="C4381" s="3" t="s">
        <v>234</v>
      </c>
      <c r="D4381" s="3" t="s">
        <v>33</v>
      </c>
      <c r="E4381" s="3" t="s">
        <v>6969</v>
      </c>
      <c r="F4381" s="4">
        <v>43965.645138888889</v>
      </c>
      <c r="G4381" s="3"/>
      <c r="H4381" s="3"/>
      <c r="I4381" s="3" t="s">
        <v>7043</v>
      </c>
      <c r="J4381" s="3"/>
      <c r="K4381" s="3"/>
      <c r="L4381" s="5"/>
    </row>
    <row r="4382" spans="1:12" ht="57.6" x14ac:dyDescent="0.55000000000000004">
      <c r="A4382" s="9" t="str">
        <f>HYPERLINK("PDF\FOIA-FWS-2020-00724-0004381.pdf","FOIA-FWS-2020-00724-0004381")</f>
        <v>FOIA-FWS-2020-00724-0004381</v>
      </c>
      <c r="B4382" s="3" t="s">
        <v>6970</v>
      </c>
      <c r="C4382" s="3" t="s">
        <v>3</v>
      </c>
      <c r="D4382" s="3" t="s">
        <v>33</v>
      </c>
      <c r="E4382" s="3" t="s">
        <v>6971</v>
      </c>
      <c r="F4382" s="4">
        <v>43965.65902777778</v>
      </c>
      <c r="G4382" s="3" t="s">
        <v>4328</v>
      </c>
      <c r="H4382" s="3"/>
      <c r="I4382" s="3" t="s">
        <v>7043</v>
      </c>
      <c r="J4382" s="3"/>
      <c r="K4382" s="3"/>
      <c r="L4382" s="5"/>
    </row>
    <row r="4383" spans="1:12" ht="28.8" x14ac:dyDescent="0.55000000000000004">
      <c r="A4383" s="9" t="str">
        <f>HYPERLINK("PDF\FOIA-FWS-2020-00724-0004382.pdf","FOIA-FWS-2020-00724-0004382")</f>
        <v>FOIA-FWS-2020-00724-0004382</v>
      </c>
      <c r="B4383" s="3" t="s">
        <v>6970</v>
      </c>
      <c r="C4383" s="3" t="s">
        <v>234</v>
      </c>
      <c r="D4383" s="3" t="s">
        <v>33</v>
      </c>
      <c r="E4383" s="3" t="s">
        <v>6969</v>
      </c>
      <c r="F4383" s="4">
        <v>43965.65902777778</v>
      </c>
      <c r="G4383" s="3"/>
      <c r="H4383" s="3"/>
      <c r="I4383" s="3" t="s">
        <v>7043</v>
      </c>
      <c r="J4383" s="3"/>
      <c r="K4383" s="3"/>
      <c r="L4383" s="5"/>
    </row>
    <row r="4384" spans="1:12" ht="115.2" x14ac:dyDescent="0.55000000000000004">
      <c r="A4384" s="9" t="str">
        <f>HYPERLINK("PDF\FOIA-FWS-2020-00724-0004383.pdf","FOIA-FWS-2020-00724-0004383")</f>
        <v>FOIA-FWS-2020-00724-0004383</v>
      </c>
      <c r="B4384" s="3" t="s">
        <v>6972</v>
      </c>
      <c r="C4384" s="3" t="s">
        <v>3</v>
      </c>
      <c r="D4384" s="3" t="s">
        <v>33</v>
      </c>
      <c r="E4384" s="3" t="s">
        <v>6973</v>
      </c>
      <c r="F4384" s="4">
        <v>43965.697916666664</v>
      </c>
      <c r="G4384" s="3" t="s">
        <v>4328</v>
      </c>
      <c r="H4384" s="3" t="s">
        <v>872</v>
      </c>
      <c r="I4384" s="3" t="s">
        <v>7043</v>
      </c>
      <c r="J4384" s="3"/>
      <c r="K4384" s="3"/>
      <c r="L4384" s="5"/>
    </row>
    <row r="4385" spans="1:12" ht="28.8" x14ac:dyDescent="0.55000000000000004">
      <c r="A4385" s="9" t="str">
        <f>HYPERLINK("PDF\FOIA-FWS-2020-00724-0004384.pdf","FOIA-FWS-2020-00724-0004384")</f>
        <v>FOIA-FWS-2020-00724-0004384</v>
      </c>
      <c r="B4385" s="3" t="s">
        <v>6974</v>
      </c>
      <c r="C4385" s="3" t="s">
        <v>3</v>
      </c>
      <c r="D4385" s="3" t="s">
        <v>33</v>
      </c>
      <c r="E4385" s="3" t="s">
        <v>6976</v>
      </c>
      <c r="F4385" s="4">
        <v>43965.759722222225</v>
      </c>
      <c r="G4385" s="3" t="s">
        <v>1024</v>
      </c>
      <c r="H4385" s="3" t="s">
        <v>6975</v>
      </c>
      <c r="I4385" s="3" t="s">
        <v>7043</v>
      </c>
      <c r="J4385" s="3"/>
      <c r="K4385" s="3"/>
      <c r="L4385" s="5"/>
    </row>
    <row r="4386" spans="1:12" ht="28.8" x14ac:dyDescent="0.55000000000000004">
      <c r="A4386" s="9" t="str">
        <f>HYPERLINK("PDF\FOIA-FWS-2020-00724-0004385.pdf","FOIA-FWS-2020-00724-0004385")</f>
        <v>FOIA-FWS-2020-00724-0004385</v>
      </c>
      <c r="B4386" s="3" t="s">
        <v>6977</v>
      </c>
      <c r="C4386" s="3" t="s">
        <v>3</v>
      </c>
      <c r="D4386" s="3" t="s">
        <v>51</v>
      </c>
      <c r="E4386" s="3" t="s">
        <v>6978</v>
      </c>
      <c r="F4386" s="4">
        <v>43966</v>
      </c>
      <c r="G4386" s="3"/>
      <c r="H4386" s="3"/>
      <c r="I4386" s="3" t="s">
        <v>7043</v>
      </c>
      <c r="J4386" s="3"/>
      <c r="K4386" s="3"/>
      <c r="L4386" s="5"/>
    </row>
    <row r="4387" spans="1:12" ht="28.8" x14ac:dyDescent="0.55000000000000004">
      <c r="A4387" s="9" t="str">
        <f>HYPERLINK("PDF\FOIA-FWS-2020-00724-0004386.pdf","FOIA-FWS-2020-00724-0004386")</f>
        <v>FOIA-FWS-2020-00724-0004386</v>
      </c>
      <c r="B4387" s="3" t="s">
        <v>6979</v>
      </c>
      <c r="C4387" s="3" t="s">
        <v>3</v>
      </c>
      <c r="D4387" s="3" t="s">
        <v>33</v>
      </c>
      <c r="E4387" s="3" t="s">
        <v>6981</v>
      </c>
      <c r="F4387" s="4">
        <v>43966.434027777781</v>
      </c>
      <c r="G4387" s="3" t="s">
        <v>1024</v>
      </c>
      <c r="H4387" s="3" t="s">
        <v>6980</v>
      </c>
      <c r="I4387" s="3" t="s">
        <v>7043</v>
      </c>
      <c r="J4387" s="3"/>
      <c r="K4387" s="3"/>
      <c r="L4387" s="5"/>
    </row>
    <row r="4388" spans="1:12" ht="28.8" x14ac:dyDescent="0.55000000000000004">
      <c r="A4388" s="9" t="str">
        <f>HYPERLINK("PDF\FOIA-FWS-2020-00724-0004387.pdf","FOIA-FWS-2020-00724-0004387")</f>
        <v>FOIA-FWS-2020-00724-0004387</v>
      </c>
      <c r="B4388" s="3" t="s">
        <v>6982</v>
      </c>
      <c r="C4388" s="3" t="s">
        <v>3</v>
      </c>
      <c r="D4388" s="3" t="s">
        <v>33</v>
      </c>
      <c r="E4388" s="3" t="s">
        <v>6984</v>
      </c>
      <c r="F4388" s="4">
        <v>43966.638194444444</v>
      </c>
      <c r="G4388" s="3" t="s">
        <v>3476</v>
      </c>
      <c r="H4388" s="3" t="s">
        <v>6983</v>
      </c>
      <c r="I4388" s="3" t="s">
        <v>7043</v>
      </c>
      <c r="J4388" s="3"/>
      <c r="K4388" s="3"/>
      <c r="L4388" s="5"/>
    </row>
    <row r="4389" spans="1:12" ht="86.4" x14ac:dyDescent="0.55000000000000004">
      <c r="A4389" s="9" t="str">
        <f>HYPERLINK("PDF\FOIA-FWS-2020-00724-0004388.pdf","FOIA-FWS-2020-00724-0004388")</f>
        <v>FOIA-FWS-2020-00724-0004388</v>
      </c>
      <c r="B4389" s="3" t="s">
        <v>6985</v>
      </c>
      <c r="C4389" s="3" t="s">
        <v>3</v>
      </c>
      <c r="D4389" s="3" t="s">
        <v>33</v>
      </c>
      <c r="E4389" s="3" t="s">
        <v>6986</v>
      </c>
      <c r="F4389" s="4">
        <v>43966.950694444444</v>
      </c>
      <c r="G4389" s="3" t="s">
        <v>2179</v>
      </c>
      <c r="H4389" s="3" t="s">
        <v>6939</v>
      </c>
      <c r="I4389" s="3" t="s">
        <v>7043</v>
      </c>
      <c r="J4389" s="3"/>
      <c r="K4389" s="3"/>
      <c r="L4389" s="5"/>
    </row>
    <row r="4390" spans="1:12" ht="28.8" x14ac:dyDescent="0.55000000000000004">
      <c r="A4390" s="9" t="str">
        <f>HYPERLINK("PDF\FOIA-FWS-2020-00724-0004389.pdf","FOIA-FWS-2020-00724-0004389")</f>
        <v>FOIA-FWS-2020-00724-0004389</v>
      </c>
      <c r="B4390" s="3" t="s">
        <v>6987</v>
      </c>
      <c r="C4390" s="3" t="s">
        <v>3</v>
      </c>
      <c r="D4390" s="3" t="s">
        <v>33</v>
      </c>
      <c r="E4390" s="3" t="s">
        <v>6988</v>
      </c>
      <c r="F4390" s="4">
        <v>43969.695833333331</v>
      </c>
      <c r="G4390" s="3" t="s">
        <v>4328</v>
      </c>
      <c r="H4390" s="3" t="s">
        <v>1024</v>
      </c>
      <c r="I4390" s="3" t="s">
        <v>7043</v>
      </c>
      <c r="J4390" s="3"/>
      <c r="K4390" s="3"/>
      <c r="L4390" s="5"/>
    </row>
    <row r="4391" spans="1:12" ht="28.8" x14ac:dyDescent="0.55000000000000004">
      <c r="A4391" s="9" t="str">
        <f>HYPERLINK("PDF\FOIA-FWS-2020-00724-0004390.pdf","FOIA-FWS-2020-00724-0004390")</f>
        <v>FOIA-FWS-2020-00724-0004390</v>
      </c>
      <c r="B4391" s="3" t="s">
        <v>6989</v>
      </c>
      <c r="C4391" s="3" t="s">
        <v>3</v>
      </c>
      <c r="D4391" s="3" t="s">
        <v>33</v>
      </c>
      <c r="E4391" s="3" t="s">
        <v>6990</v>
      </c>
      <c r="F4391" s="4">
        <v>43991</v>
      </c>
      <c r="G4391" s="3"/>
      <c r="H4391" s="3"/>
      <c r="I4391" s="3" t="s">
        <v>7043</v>
      </c>
      <c r="J4391" s="3"/>
      <c r="K4391" s="3"/>
      <c r="L4391" s="5"/>
    </row>
    <row r="4392" spans="1:12" ht="28.8" x14ac:dyDescent="0.55000000000000004">
      <c r="A4392" s="9" t="str">
        <f>HYPERLINK("PDF\FOIA-FWS-2020-00724-0004391.pdf","FOIA-FWS-2020-00724-0004391")</f>
        <v>FOIA-FWS-2020-00724-0004391</v>
      </c>
      <c r="B4392" s="3" t="s">
        <v>6991</v>
      </c>
      <c r="C4392" s="3" t="s">
        <v>3</v>
      </c>
      <c r="D4392" s="3" t="s">
        <v>33</v>
      </c>
      <c r="E4392" s="3" t="s">
        <v>6992</v>
      </c>
      <c r="F4392" s="4">
        <v>44023</v>
      </c>
      <c r="G4392" s="3"/>
      <c r="H4392" s="3"/>
      <c r="I4392" s="3" t="s">
        <v>7043</v>
      </c>
      <c r="J4392" s="3"/>
      <c r="K4392" s="3"/>
      <c r="L4392" s="5" t="str">
        <f>HYPERLINK("NATIVE_FILES\FOIA-FWS-2020-00724-0004391.xlsx","FOIA-FWS-2020-00724-0004391.xlsx")</f>
        <v>FOIA-FWS-2020-00724-0004391.xlsx</v>
      </c>
    </row>
    <row r="4393" spans="1:12" ht="28.8" x14ac:dyDescent="0.55000000000000004">
      <c r="A4393" s="9" t="str">
        <f>HYPERLINK("PDF\FOIA-FWS-2020-00724-0004392.pdf","FOIA-FWS-2020-00724-0004392")</f>
        <v>FOIA-FWS-2020-00724-0004392</v>
      </c>
      <c r="B4393" s="3" t="s">
        <v>6993</v>
      </c>
      <c r="C4393" s="3" t="s">
        <v>3</v>
      </c>
      <c r="D4393" s="3" t="s">
        <v>4</v>
      </c>
      <c r="E4393" s="3" t="s">
        <v>6994</v>
      </c>
      <c r="F4393" s="4">
        <v>44211</v>
      </c>
      <c r="G4393" s="3"/>
      <c r="H4393" s="3"/>
      <c r="I4393" s="3" t="s">
        <v>7043</v>
      </c>
      <c r="J4393" s="3"/>
      <c r="K4393" s="3"/>
      <c r="L4393" s="5"/>
    </row>
    <row r="4394" spans="1:12" ht="28.8" x14ac:dyDescent="0.55000000000000004">
      <c r="A4394" s="9" t="str">
        <f>HYPERLINK("PDF\FOIA-FWS-2020-00724-0004393.pdf","FOIA-FWS-2020-00724-0004393")</f>
        <v>FOIA-FWS-2020-00724-0004393</v>
      </c>
      <c r="B4394" s="3" t="s">
        <v>6995</v>
      </c>
      <c r="C4394" s="3" t="s">
        <v>3</v>
      </c>
      <c r="D4394" s="3" t="s">
        <v>4</v>
      </c>
      <c r="E4394" s="3" t="s">
        <v>6996</v>
      </c>
      <c r="F4394" s="4">
        <v>44243</v>
      </c>
      <c r="G4394" s="3"/>
      <c r="H4394" s="3"/>
      <c r="I4394" s="3" t="s">
        <v>7043</v>
      </c>
      <c r="J4394" s="3"/>
      <c r="K4394" s="3"/>
      <c r="L4394" s="5"/>
    </row>
    <row r="4395" spans="1:12" ht="28.8" x14ac:dyDescent="0.55000000000000004">
      <c r="A4395" s="9" t="str">
        <f>HYPERLINK("PDF\FOIA-FWS-2020-00724-0004394.pdf","FOIA-FWS-2020-00724-0004394")</f>
        <v>FOIA-FWS-2020-00724-0004394</v>
      </c>
      <c r="B4395" s="3" t="s">
        <v>6997</v>
      </c>
      <c r="C4395" s="3" t="s">
        <v>3</v>
      </c>
      <c r="D4395" s="3" t="s">
        <v>4</v>
      </c>
      <c r="E4395" s="3" t="s">
        <v>6998</v>
      </c>
      <c r="F4395" s="4">
        <v>44247</v>
      </c>
      <c r="G4395" s="3"/>
      <c r="H4395" s="3"/>
      <c r="I4395" s="3" t="s">
        <v>7043</v>
      </c>
      <c r="J4395" s="3"/>
      <c r="K4395" s="3"/>
      <c r="L4395" s="5"/>
    </row>
    <row r="4396" spans="1:12" ht="28.8" x14ac:dyDescent="0.55000000000000004">
      <c r="A4396" s="9" t="str">
        <f>HYPERLINK("PDF\FOIA-FWS-2020-00724-0004395.pdf","FOIA-FWS-2020-00724-0004395")</f>
        <v>FOIA-FWS-2020-00724-0004395</v>
      </c>
      <c r="B4396" s="3" t="s">
        <v>6999</v>
      </c>
      <c r="C4396" s="3" t="s">
        <v>3</v>
      </c>
      <c r="D4396" s="3" t="s">
        <v>4</v>
      </c>
      <c r="E4396" s="3" t="s">
        <v>7000</v>
      </c>
      <c r="F4396" s="4">
        <v>44267</v>
      </c>
      <c r="G4396" s="3"/>
      <c r="H4396" s="3"/>
      <c r="I4396" s="3" t="s">
        <v>7043</v>
      </c>
      <c r="J4396" s="3"/>
      <c r="K4396" s="3"/>
      <c r="L4396" s="5"/>
    </row>
    <row r="4397" spans="1:12" ht="28.8" x14ac:dyDescent="0.55000000000000004">
      <c r="A4397" s="9" t="str">
        <f>HYPERLINK("PDF\FOIA-FWS-2020-00724-0004396.pdf","FOIA-FWS-2020-00724-0004396")</f>
        <v>FOIA-FWS-2020-00724-0004396</v>
      </c>
      <c r="B4397" s="3" t="s">
        <v>7001</v>
      </c>
      <c r="C4397" s="3" t="s">
        <v>3</v>
      </c>
      <c r="D4397" s="3" t="s">
        <v>4</v>
      </c>
      <c r="E4397" s="3" t="s">
        <v>7002</v>
      </c>
      <c r="F4397" s="4">
        <v>44271</v>
      </c>
      <c r="G4397" s="3"/>
      <c r="H4397" s="3"/>
      <c r="I4397" s="3" t="s">
        <v>7043</v>
      </c>
      <c r="J4397" s="3"/>
      <c r="K4397" s="3"/>
      <c r="L4397" s="5"/>
    </row>
    <row r="4398" spans="1:12" ht="28.8" x14ac:dyDescent="0.55000000000000004">
      <c r="A4398" s="9" t="str">
        <f>HYPERLINK("PDF\FOIA-FWS-2020-00724-0004397.pdf","FOIA-FWS-2020-00724-0004397")</f>
        <v>FOIA-FWS-2020-00724-0004397</v>
      </c>
      <c r="B4398" s="3" t="s">
        <v>7003</v>
      </c>
      <c r="C4398" s="3" t="s">
        <v>3</v>
      </c>
      <c r="D4398" s="3" t="s">
        <v>4</v>
      </c>
      <c r="E4398" s="3" t="s">
        <v>7004</v>
      </c>
      <c r="F4398" s="4">
        <v>44271</v>
      </c>
      <c r="G4398" s="3"/>
      <c r="H4398" s="3"/>
      <c r="I4398" s="3" t="s">
        <v>7043</v>
      </c>
      <c r="J4398" s="3"/>
      <c r="K4398" s="3"/>
      <c r="L4398" s="5"/>
    </row>
    <row r="4399" spans="1:12" ht="28.8" x14ac:dyDescent="0.55000000000000004">
      <c r="A4399" s="9" t="str">
        <f>HYPERLINK("PDF\FOIA-FWS-2020-00724-0004398.pdf","FOIA-FWS-2020-00724-0004398")</f>
        <v>FOIA-FWS-2020-00724-0004398</v>
      </c>
      <c r="B4399" s="3" t="s">
        <v>7005</v>
      </c>
      <c r="C4399" s="3" t="s">
        <v>3</v>
      </c>
      <c r="D4399" s="3" t="s">
        <v>4</v>
      </c>
      <c r="E4399" s="3" t="s">
        <v>7006</v>
      </c>
      <c r="F4399" s="4">
        <v>44291</v>
      </c>
      <c r="G4399" s="3"/>
      <c r="H4399" s="3"/>
      <c r="I4399" s="3" t="s">
        <v>7043</v>
      </c>
      <c r="J4399" s="3"/>
      <c r="K4399" s="3"/>
      <c r="L4399" s="5"/>
    </row>
    <row r="4400" spans="1:12" ht="28.8" x14ac:dyDescent="0.55000000000000004">
      <c r="A4400" s="9" t="str">
        <f>HYPERLINK("PDF\FOIA-FWS-2020-00724-0004399.pdf","FOIA-FWS-2020-00724-0004399")</f>
        <v>FOIA-FWS-2020-00724-0004399</v>
      </c>
      <c r="B4400" s="3" t="s">
        <v>7007</v>
      </c>
      <c r="C4400" s="3" t="s">
        <v>3</v>
      </c>
      <c r="D4400" s="3" t="s">
        <v>4</v>
      </c>
      <c r="E4400" s="3" t="s">
        <v>7008</v>
      </c>
      <c r="F4400" s="4">
        <v>44365</v>
      </c>
      <c r="G4400" s="3"/>
      <c r="H4400" s="3"/>
      <c r="I4400" s="3" t="s">
        <v>7043</v>
      </c>
      <c r="J4400" s="3"/>
      <c r="K4400" s="3"/>
      <c r="L4400" s="5"/>
    </row>
    <row r="4401" spans="1:12" ht="28.8" x14ac:dyDescent="0.55000000000000004">
      <c r="A4401" s="9" t="str">
        <f>HYPERLINK("PDF\FOIA-FWS-2020-00724-0004400.pdf","FOIA-FWS-2020-00724-0004400")</f>
        <v>FOIA-FWS-2020-00724-0004400</v>
      </c>
      <c r="B4401" s="3" t="s">
        <v>7009</v>
      </c>
      <c r="C4401" s="3" t="s">
        <v>3</v>
      </c>
      <c r="D4401" s="3" t="s">
        <v>4</v>
      </c>
      <c r="E4401" s="3" t="s">
        <v>7010</v>
      </c>
      <c r="F4401" s="4">
        <v>44365</v>
      </c>
      <c r="G4401" s="3"/>
      <c r="H4401" s="3"/>
      <c r="I4401" s="3" t="s">
        <v>7043</v>
      </c>
      <c r="J4401" s="3"/>
      <c r="K4401" s="3"/>
      <c r="L4401" s="5"/>
    </row>
    <row r="4402" spans="1:12" ht="28.8" x14ac:dyDescent="0.55000000000000004">
      <c r="A4402" s="9" t="str">
        <f>HYPERLINK("PDF\FOIA-FWS-2020-00724-0004401.pdf","FOIA-FWS-2020-00724-0004401")</f>
        <v>FOIA-FWS-2020-00724-0004401</v>
      </c>
      <c r="B4402" s="3" t="s">
        <v>7011</v>
      </c>
      <c r="C4402" s="3" t="s">
        <v>3</v>
      </c>
      <c r="D4402" s="3" t="s">
        <v>4</v>
      </c>
      <c r="E4402" s="3" t="s">
        <v>7012</v>
      </c>
      <c r="F4402" s="4">
        <v>44412</v>
      </c>
      <c r="G4402" s="3"/>
      <c r="H4402" s="3"/>
      <c r="I4402" s="3" t="s">
        <v>7043</v>
      </c>
      <c r="J4402" s="3"/>
      <c r="K4402" s="3"/>
      <c r="L4402" s="5"/>
    </row>
    <row r="4403" spans="1:12" ht="28.8" x14ac:dyDescent="0.55000000000000004">
      <c r="A4403" s="9" t="str">
        <f>HYPERLINK("PDF\FOIA-FWS-2020-00724-0004402.pdf","FOIA-FWS-2020-00724-0004402")</f>
        <v>FOIA-FWS-2020-00724-0004402</v>
      </c>
      <c r="B4403" s="3" t="s">
        <v>7013</v>
      </c>
      <c r="C4403" s="3" t="s">
        <v>3</v>
      </c>
      <c r="D4403" s="3" t="s">
        <v>4</v>
      </c>
      <c r="E4403" s="3" t="s">
        <v>7014</v>
      </c>
      <c r="F4403" s="4">
        <v>44424</v>
      </c>
      <c r="G4403" s="3"/>
      <c r="H4403" s="3"/>
      <c r="I4403" s="3" t="s">
        <v>7043</v>
      </c>
      <c r="J4403" s="3"/>
      <c r="K4403" s="3"/>
      <c r="L4403" s="5"/>
    </row>
    <row r="4404" spans="1:12" ht="28.8" x14ac:dyDescent="0.55000000000000004">
      <c r="A4404" s="9" t="str">
        <f>HYPERLINK("PDF\FOIA-FWS-2020-00724-0004403.pdf","FOIA-FWS-2020-00724-0004403")</f>
        <v>FOIA-FWS-2020-00724-0004403</v>
      </c>
      <c r="B4404" s="3" t="s">
        <v>7015</v>
      </c>
      <c r="C4404" s="3" t="s">
        <v>3</v>
      </c>
      <c r="D4404" s="3" t="s">
        <v>4</v>
      </c>
      <c r="E4404" s="3" t="s">
        <v>7016</v>
      </c>
      <c r="F4404" s="4">
        <v>44458</v>
      </c>
      <c r="G4404" s="3"/>
      <c r="H4404" s="3"/>
      <c r="I4404" s="3" t="s">
        <v>7043</v>
      </c>
      <c r="J4404" s="3"/>
      <c r="K4404" s="3"/>
      <c r="L4404" s="5"/>
    </row>
    <row r="4405" spans="1:12" ht="57.6" x14ac:dyDescent="0.55000000000000004">
      <c r="A4405" s="9" t="str">
        <f>HYPERLINK("PDF\FOIA-FWS-2020-00724-0004404.pdf","FOIA-FWS-2020-00724-0004404")</f>
        <v>FOIA-FWS-2020-00724-0004404</v>
      </c>
      <c r="B4405" s="3" t="s">
        <v>7017</v>
      </c>
      <c r="C4405" s="3" t="s">
        <v>3</v>
      </c>
      <c r="D4405" s="3" t="s">
        <v>4</v>
      </c>
      <c r="E4405" s="3" t="s">
        <v>7018</v>
      </c>
      <c r="F4405" s="4">
        <v>44486</v>
      </c>
      <c r="G4405" s="3"/>
      <c r="H4405" s="3"/>
      <c r="I4405" s="3" t="s">
        <v>7043</v>
      </c>
      <c r="J4405" s="3"/>
      <c r="K4405" s="3"/>
      <c r="L4405" s="5"/>
    </row>
    <row r="4406" spans="1:12" ht="28.8" x14ac:dyDescent="0.55000000000000004">
      <c r="A4406" s="10" t="str">
        <f>HYPERLINK("PDF\FOIA-FWS-2020-00724-0004405.pdf","FOIA-FWS-2020-00724-0004405")</f>
        <v>FOIA-FWS-2020-00724-0004405</v>
      </c>
      <c r="B4406" s="6" t="s">
        <v>7019</v>
      </c>
      <c r="C4406" s="6" t="s">
        <v>3</v>
      </c>
      <c r="D4406" s="6" t="s">
        <v>4</v>
      </c>
      <c r="E4406" s="6" t="s">
        <v>7020</v>
      </c>
      <c r="F4406" s="7">
        <v>44545</v>
      </c>
      <c r="G4406" s="6"/>
      <c r="H4406" s="6"/>
      <c r="I4406" s="6" t="s">
        <v>7043</v>
      </c>
      <c r="J4406" s="6"/>
      <c r="K4406" s="6"/>
      <c r="L4406" s="8"/>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FOIA_Index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2021-07-29T20:49:38Z</dcterms:created>
  <dcterms:modified xsi:type="dcterms:W3CDTF">2021-07-30T21:01:42Z</dcterms:modified>
</cp:coreProperties>
</file>